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P:\Marketing\Website\Forms\"/>
    </mc:Choice>
  </mc:AlternateContent>
  <bookViews>
    <workbookView xWindow="0" yWindow="0" windowWidth="28800" windowHeight="12216"/>
  </bookViews>
  <sheets>
    <sheet name="Bank Statements" sheetId="11" r:id="rId1"/>
    <sheet name="Express Doc" sheetId="15" state="hidden" r:id="rId2"/>
    <sheet name="STEP 3 - Income Analysis" sheetId="9" state="hidden" r:id="rId3"/>
    <sheet name="Asset Utilization" sheetId="12" r:id="rId4"/>
    <sheet name="Admin" sheetId="10" state="hidden" r:id="rId5"/>
    <sheet name="Admin AU" sheetId="13" state="hidden" r:id="rId6"/>
  </sheets>
  <definedNames>
    <definedName name="A">#REF!</definedName>
    <definedName name="AES">'STEP 3 - Income Analysis'!$G$15:$G$22,'STEP 3 - Income Analysis'!$E$19:$E$22,'STEP 3 - Income Analysis'!$G$13</definedName>
    <definedName name="AMD" localSheetId="0">'Bank Statements'!$F$69</definedName>
    <definedName name="AMD">#REF!</definedName>
    <definedName name="APlust">'Admin AU'!$A$12:$A$14</definedName>
    <definedName name="asdf">'Asset Utilization'!#REF!</definedName>
    <definedName name="asdfasdfasdf">#REF!</definedName>
    <definedName name="ASFWERW">#REF!</definedName>
    <definedName name="Asset">'Admin AU'!$A$12:$A$14</definedName>
    <definedName name="AssetPlus">'Admin AU'!$A$12:$A$14</definedName>
    <definedName name="AUDate">'Asset Utilization'!$H$8</definedName>
    <definedName name="BBBBB">#REF!</definedName>
    <definedName name="BExpStd">Admin!$D$3:$D$4</definedName>
    <definedName name="Borr">'Asset Utilization'!$E$4</definedName>
    <definedName name="BorrowerName" localSheetId="0">'Bank Statements'!$E$4</definedName>
    <definedName name="BorrowerName">#REF!</definedName>
    <definedName name="BT" localSheetId="0">'Bank Statements'!$D$21</definedName>
    <definedName name="BT">#REF!</definedName>
    <definedName name="BusExpinPer" localSheetId="0">'Bank Statements'!$J$16</definedName>
    <definedName name="BusExpinPer">#REF!</definedName>
    <definedName name="BusinessExplanation">'STEP 3 - Income Analysis'!$C$36</definedName>
    <definedName name="Businessname" localSheetId="0">'Bank Statements'!$M$4</definedName>
    <definedName name="Businessname">#REF!</definedName>
    <definedName name="BusName">'Asset Utilization'!#REF!</definedName>
    <definedName name="CCCC">#REF!</definedName>
    <definedName name="CoreAsset">'Admin AU'!$A$17:$A$20</definedName>
    <definedName name="d">#REF!,#REF!,#REF!</definedName>
    <definedName name="DateRecentStatement" localSheetId="0">'Bank Statements'!$D$25</definedName>
    <definedName name="DateRecentStatement">#REF!</definedName>
    <definedName name="Dep">'Asset Utilization'!$E$18</definedName>
    <definedName name="depeight">'Asset Utilization'!$E$25</definedName>
    <definedName name="depfirst">'Asset Utilization'!$E$18:$E$29</definedName>
    <definedName name="depfive">'Asset Utilization'!$E$22</definedName>
    <definedName name="depfour">'Asset Utilization'!$E$21</definedName>
    <definedName name="depnine">'Asset Utilization'!$E$26</definedName>
    <definedName name="Deposit1" localSheetId="0">'Bank Statements'!$D$32</definedName>
    <definedName name="Deposit1">#REF!</definedName>
    <definedName name="Deposit10" localSheetId="0">'Bank Statements'!$D$41</definedName>
    <definedName name="Deposit10">#REF!</definedName>
    <definedName name="Deposit11" localSheetId="0">'Bank Statements'!$D$42</definedName>
    <definedName name="Deposit11">#REF!</definedName>
    <definedName name="Deposit12" localSheetId="0">'Bank Statements'!$D$43</definedName>
    <definedName name="Deposit12">#REF!</definedName>
    <definedName name="Deposit2" localSheetId="0">'Bank Statements'!$D$33</definedName>
    <definedName name="Deposit2">#REF!</definedName>
    <definedName name="Deposit3" localSheetId="0">'Bank Statements'!$D$34</definedName>
    <definedName name="Deposit3">#REF!</definedName>
    <definedName name="Deposit4" localSheetId="0">'Bank Statements'!$D$35</definedName>
    <definedName name="Deposit4">#REF!</definedName>
    <definedName name="Deposit5" localSheetId="0">'Bank Statements'!$D$36</definedName>
    <definedName name="Deposit5">#REF!</definedName>
    <definedName name="Deposit6" localSheetId="0">'Bank Statements'!$D$37</definedName>
    <definedName name="Deposit6">#REF!</definedName>
    <definedName name="Deposit7" localSheetId="0">'Bank Statements'!$D$38</definedName>
    <definedName name="Deposit7">#REF!</definedName>
    <definedName name="Deposit8" localSheetId="0">'Bank Statements'!$D$39</definedName>
    <definedName name="Deposit8">#REF!</definedName>
    <definedName name="Deposit9" localSheetId="0">'Bank Statements'!$D$40</definedName>
    <definedName name="Deposit9">#REF!</definedName>
    <definedName name="DepositNotBus1" localSheetId="0">'Bank Statements'!$G$32</definedName>
    <definedName name="DepositNotBus1">#REF!</definedName>
    <definedName name="DepositNotBus2" localSheetId="0">'Bank Statements'!$G$33</definedName>
    <definedName name="DepositNotBus2">#REF!</definedName>
    <definedName name="DepositNotBus3" localSheetId="0">'Bank Statements'!$G$34</definedName>
    <definedName name="DepositNotBus3">#REF!</definedName>
    <definedName name="Deposits24" localSheetId="0">'Bank Statements'!$E$50:$E$61</definedName>
    <definedName name="Deposits24">#REF!</definedName>
    <definedName name="DepositsFirst12" localSheetId="0">'Bank Statements'!$E$32:$E$43</definedName>
    <definedName name="DepositsFirst12">#REF!</definedName>
    <definedName name="DepositsNotBus12" localSheetId="0">'Bank Statements'!$G$32:$L$43</definedName>
    <definedName name="DepositsNotBus12">#REF!</definedName>
    <definedName name="DepositsNotBus24" localSheetId="0">'Bank Statements'!$G$50:$L$61</definedName>
    <definedName name="DepositsNotBus24">#REF!</definedName>
    <definedName name="Depositten">'Asset Utilization'!$E$27</definedName>
    <definedName name="depseven">'Asset Utilization'!$E$24</definedName>
    <definedName name="depsix">'Asset Utilization'!$E$23</definedName>
    <definedName name="depthree">'Asset Utilization'!$E$20</definedName>
    <definedName name="deptwentyfour">'Asset Utilization'!#REF!</definedName>
    <definedName name="deptwo">'Asset Utilization'!$E$19</definedName>
    <definedName name="DownPayment">'Asset Utilization'!$H$6</definedName>
    <definedName name="DSDF">#REF!</definedName>
    <definedName name="dsf">'Asset Utilization'!#REF!</definedName>
    <definedName name="E">#REF!</definedName>
    <definedName name="eleven">'Asset Utilization'!$E$28</definedName>
    <definedName name="empl">'Asset Utilization'!#REF!</definedName>
    <definedName name="Employees" localSheetId="0">'Bank Statements'!$M$8</definedName>
    <definedName name="Employees">#REF!</definedName>
    <definedName name="FFFFF">#REF!</definedName>
    <definedName name="GGGGGG">#REF!</definedName>
    <definedName name="goods">'Asset Utilization'!#REF!</definedName>
    <definedName name="GoodsorServices" localSheetId="0">'Bank Statements'!$M$6</definedName>
    <definedName name="GoodsorServices">#REF!</definedName>
    <definedName name="HHHHHH">#REF!</definedName>
    <definedName name="I">#REF!</definedName>
    <definedName name="JJJJJ">#REF!</definedName>
    <definedName name="KKKK">#REF!</definedName>
    <definedName name="larege">'Asset Utilization'!#REF!</definedName>
    <definedName name="LargeDeposits" localSheetId="0">'Bank Statements'!$N$25</definedName>
    <definedName name="LargeDeposits">#REF!</definedName>
    <definedName name="LLLLL">#REF!</definedName>
    <definedName name="LoanAmount">'Asset Utilization'!$H$4</definedName>
    <definedName name="LoanNumber">'Asset Utilization'!#REF!</definedName>
    <definedName name="lstBType">Admin!$B$3:$B$4</definedName>
    <definedName name="lstMos">Admin!$C$3:$C$4</definedName>
    <definedName name="MMMMM">#REF!</definedName>
    <definedName name="mo">'Admin AU'!#REF!</definedName>
    <definedName name="MosReq" localSheetId="0">'Bank Statements'!$D$23</definedName>
    <definedName name="MosReq">#REF!</definedName>
    <definedName name="NNNNN">#REF!</definedName>
    <definedName name="NotBusDeposit">'Asset Utilization'!$G$18</definedName>
    <definedName name="notbusthree">'Asset Utilization'!$G$20</definedName>
    <definedName name="notbustwelve">'Asset Utilization'!$G$18:$J$29</definedName>
    <definedName name="notbustwentyfour">'Asset Utilization'!#REF!</definedName>
    <definedName name="notbustwo">'Asset Utilization'!$G$19</definedName>
    <definedName name="notsufficientfunds">'Asset Utilization'!#REF!</definedName>
    <definedName name="NSF" localSheetId="0">'Bank Statements'!$N$23</definedName>
    <definedName name="NSF">#REF!</definedName>
    <definedName name="numberofmonths">'Asset Utilization'!#REF!</definedName>
    <definedName name="O">#REF!</definedName>
    <definedName name="own">'Asset Utilization'!$H$4</definedName>
    <definedName name="Ownership" localSheetId="0">'Bank Statements'!$D$10</definedName>
    <definedName name="Ownership">#REF!</definedName>
    <definedName name="P">#REF!</definedName>
    <definedName name="page">'Admin AU'!#REF!</definedName>
    <definedName name="personal">'Asset Utilization'!$H$6</definedName>
    <definedName name="PgRq">Admin!$E$3:$E$5</definedName>
    <definedName name="PlusAsset">'Admin AU'!$A$12:$A$14</definedName>
    <definedName name="PorB" localSheetId="0">'Bank Statements'!$J$12</definedName>
    <definedName name="PorB">#REF!</definedName>
    <definedName name="_xlnm.Print_Area" localSheetId="3">'Asset Utilization'!$A$1:$K$40</definedName>
    <definedName name="_xlnm.Print_Area" localSheetId="0">'Bank Statements'!$A$1:$Q$121</definedName>
    <definedName name="_xlnm.Print_Area" localSheetId="2">'STEP 3 - Income Analysis'!$A$1:$K$57</definedName>
    <definedName name="Program">'Admin AU'!$A$8:$A$9</definedName>
    <definedName name="Q">#REF!</definedName>
    <definedName name="Rent" localSheetId="0">'Bank Statements'!$M$10</definedName>
    <definedName name="Rent">#REF!</definedName>
    <definedName name="rents">'Asset Utilization'!#REF!</definedName>
    <definedName name="res">'Admin AU'!$A$3:$A$4</definedName>
    <definedName name="Result">Admin!$F$3:$F$4</definedName>
    <definedName name="RRRR">#REF!</definedName>
    <definedName name="S">#REF!</definedName>
    <definedName name="SDFADSFADSF">#REF!</definedName>
    <definedName name="SDFASDFWEREWR">#REF!</definedName>
    <definedName name="seperate">'Asset Utilization'!#REF!</definedName>
    <definedName name="Seperatebooks" localSheetId="0">'Bank Statements'!$J$14</definedName>
    <definedName name="Seperatebooks">#REF!</definedName>
    <definedName name="SSSDSDD">#REF!</definedName>
    <definedName name="transfer">'Asset Utilization'!#REF!</definedName>
    <definedName name="Transfers" localSheetId="0">'Bank Statements'!$N$21</definedName>
    <definedName name="Transfers">#REF!</definedName>
    <definedName name="TTT">#REF!</definedName>
    <definedName name="twelve">'Asset Utilization'!$E$29</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71027"/>
  <fileRecoveryPr autoRecover="0"/>
</workbook>
</file>

<file path=xl/calcChain.xml><?xml version="1.0" encoding="utf-8"?>
<calcChain xmlns="http://schemas.openxmlformats.org/spreadsheetml/2006/main">
  <c r="H10" i="12" l="1"/>
  <c r="L17" i="12" l="1"/>
  <c r="J20" i="12"/>
  <c r="J21" i="12"/>
  <c r="J22" i="12"/>
  <c r="J23" i="12"/>
  <c r="J24" i="12"/>
  <c r="J25" i="12"/>
  <c r="J26" i="12"/>
  <c r="J27" i="12"/>
  <c r="J28" i="12"/>
  <c r="J29" i="12"/>
  <c r="J18" i="12"/>
  <c r="J19" i="12"/>
  <c r="I18" i="12"/>
  <c r="R25" i="11" l="1"/>
  <c r="B75" i="11"/>
  <c r="B74" i="11"/>
  <c r="E8" i="12" l="1"/>
  <c r="N61" i="11" l="1"/>
  <c r="N60" i="11"/>
  <c r="N59" i="11"/>
  <c r="N58" i="11"/>
  <c r="N57" i="11"/>
  <c r="N56" i="11"/>
  <c r="N55" i="11"/>
  <c r="N54" i="11"/>
  <c r="N53" i="11"/>
  <c r="E81" i="11" l="1"/>
  <c r="E79" i="11"/>
  <c r="I21" i="12" l="1"/>
  <c r="I22" i="12"/>
  <c r="I23" i="12"/>
  <c r="I24" i="12"/>
  <c r="I25" i="12"/>
  <c r="I26" i="12"/>
  <c r="I27" i="12"/>
  <c r="I28" i="12"/>
  <c r="I29" i="12"/>
  <c r="I20" i="12"/>
  <c r="I19" i="12"/>
  <c r="D11" i="11" l="1"/>
  <c r="E10" i="12" l="1"/>
  <c r="H21" i="15" l="1"/>
  <c r="Q48" i="15"/>
  <c r="A3" i="13" l="1"/>
  <c r="H23" i="15"/>
  <c r="Q35" i="15"/>
  <c r="Q37" i="15" s="1"/>
  <c r="Q39" i="15" s="1"/>
  <c r="Q46" i="15" l="1"/>
  <c r="Q50" i="15" s="1"/>
  <c r="Q41" i="15"/>
  <c r="E9" i="12"/>
  <c r="D21" i="11" l="1"/>
  <c r="R83" i="11" s="1"/>
  <c r="H30" i="12"/>
  <c r="O95" i="11"/>
  <c r="O97" i="11" s="1"/>
  <c r="D62" i="11"/>
  <c r="D44" i="11"/>
  <c r="I83" i="11"/>
  <c r="N50" i="11"/>
  <c r="N51" i="11"/>
  <c r="N52" i="11"/>
  <c r="F31" i="12" l="1"/>
  <c r="J30" i="12"/>
  <c r="G30" i="12"/>
  <c r="I30" i="12"/>
  <c r="D38" i="12" s="1"/>
  <c r="O103" i="11"/>
  <c r="N11" i="11"/>
  <c r="R81" i="11"/>
  <c r="R85" i="11"/>
  <c r="M13" i="11"/>
  <c r="A4" i="13"/>
  <c r="D36" i="12" l="1"/>
  <c r="G36" i="12" s="1"/>
  <c r="G38" i="12"/>
  <c r="G62" i="11"/>
  <c r="C64" i="11"/>
  <c r="G44" i="11"/>
  <c r="C45" i="11"/>
  <c r="N43" i="11"/>
  <c r="N42" i="11"/>
  <c r="N41" i="11"/>
  <c r="N40" i="11"/>
  <c r="N39" i="11"/>
  <c r="N38" i="11"/>
  <c r="N37" i="11"/>
  <c r="N36" i="11"/>
  <c r="N35" i="11"/>
  <c r="N34" i="11"/>
  <c r="N33" i="11"/>
  <c r="N32" i="11"/>
  <c r="C32" i="11"/>
  <c r="C33" i="11" s="1"/>
  <c r="C34" i="11" s="1"/>
  <c r="C35" i="11" s="1"/>
  <c r="C36" i="11" s="1"/>
  <c r="C37" i="11" s="1"/>
  <c r="C38" i="11" s="1"/>
  <c r="C39" i="11" s="1"/>
  <c r="C40" i="11" s="1"/>
  <c r="C41" i="11" s="1"/>
  <c r="C42" i="11" s="1"/>
  <c r="C43" i="11" s="1"/>
  <c r="C50" i="11" s="1"/>
  <c r="C51" i="11" s="1"/>
  <c r="C52" i="11" s="1"/>
  <c r="C53" i="11" s="1"/>
  <c r="C54" i="11" s="1"/>
  <c r="C55" i="11" s="1"/>
  <c r="C56" i="11" s="1"/>
  <c r="C57" i="11" s="1"/>
  <c r="C58" i="11" s="1"/>
  <c r="C59" i="11" s="1"/>
  <c r="C60" i="11" s="1"/>
  <c r="C61" i="11" s="1"/>
  <c r="C28" i="11"/>
  <c r="R23" i="11"/>
  <c r="R21" i="11"/>
  <c r="L110" i="11"/>
  <c r="D23" i="11" l="1"/>
  <c r="N44" i="11"/>
  <c r="N62" i="11"/>
  <c r="I34" i="12"/>
  <c r="B116" i="11"/>
  <c r="J65" i="11" l="1"/>
  <c r="F69" i="11"/>
  <c r="L103" i="11" l="1"/>
  <c r="R103" i="11"/>
  <c r="E83" i="11"/>
  <c r="E85" i="11" s="1"/>
  <c r="G43" i="9"/>
  <c r="E87" i="11" l="1"/>
  <c r="F110" i="11" s="1"/>
  <c r="F112" i="11" s="1"/>
  <c r="B9" i="9"/>
  <c r="G23" i="9" l="1"/>
  <c r="K4" i="10" l="1"/>
  <c r="K3" i="10"/>
  <c r="F4" i="10" l="1"/>
  <c r="J17" i="9" l="1"/>
  <c r="J16" i="9"/>
  <c r="J15" i="9"/>
  <c r="C35" i="9" l="1"/>
  <c r="F3" i="10"/>
  <c r="B50" i="9" l="1"/>
  <c r="H3" i="10"/>
  <c r="H4" i="10" s="1"/>
  <c r="E19" i="10"/>
  <c r="R14" i="9" l="1"/>
  <c r="B6" i="9" l="1"/>
  <c r="D10" i="10" l="1"/>
  <c r="G45" i="9" l="1"/>
  <c r="R13" i="9"/>
  <c r="Q13" i="9"/>
  <c r="C33" i="9"/>
  <c r="G25" i="9" l="1"/>
  <c r="Q14" i="9"/>
  <c r="G27" i="9" l="1"/>
  <c r="G47" i="9" s="1"/>
  <c r="F50" i="9" s="1"/>
  <c r="I3" i="10" l="1"/>
  <c r="I4" i="10" s="1"/>
  <c r="D50" i="9" l="1"/>
  <c r="O99" i="11" l="1"/>
  <c r="O101" i="11" s="1"/>
  <c r="O110" i="11" l="1"/>
  <c r="O112" i="11" s="1"/>
</calcChain>
</file>

<file path=xl/sharedStrings.xml><?xml version="1.0" encoding="utf-8"?>
<sst xmlns="http://schemas.openxmlformats.org/spreadsheetml/2006/main" count="239" uniqueCount="166">
  <si>
    <t>Cost of Goods/Materials</t>
  </si>
  <si>
    <t>Labor/ Wages (paid to others)</t>
  </si>
  <si>
    <t>Business</t>
  </si>
  <si>
    <t>Personal</t>
  </si>
  <si>
    <t xml:space="preserve"> </t>
  </si>
  <si>
    <t>Other:</t>
  </si>
  <si>
    <t>TOTAL:</t>
  </si>
  <si>
    <t>Total Expenses:</t>
  </si>
  <si>
    <t>lstBType</t>
  </si>
  <si>
    <t>lstMos</t>
  </si>
  <si>
    <t>Yes</t>
  </si>
  <si>
    <t>No</t>
  </si>
  <si>
    <t>BExpStd</t>
  </si>
  <si>
    <t>PgRq</t>
  </si>
  <si>
    <t>Result</t>
  </si>
  <si>
    <t>The analysis of program requirements could not be completed. Please ensure you have filled out all required fields.</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</si>
  <si>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</si>
  <si>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</si>
  <si>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</si>
  <si>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</si>
  <si>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Program Requirements Met?</t>
  </si>
  <si>
    <t>RESULTS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</si>
  <si>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</si>
  <si>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r>
      <rPr>
        <u/>
        <sz val="10"/>
        <color theme="1"/>
        <rFont val="Segoe UI"/>
        <family val="2"/>
      </rPr>
      <t>PROGRAM REQUIREMENT:</t>
    </r>
    <r>
      <rPr>
        <sz val="10"/>
        <color theme="1"/>
        <rFont val="Segoe UI"/>
        <family val="2"/>
      </rPr>
      <t xml:space="preserve"> Net income listed below must be within 10% of deposits on the personal bank statements.</t>
    </r>
  </si>
  <si>
    <t>Step 1 - Borrower / Business Information</t>
  </si>
  <si>
    <t>Step 3 - Income Analysis</t>
  </si>
  <si>
    <t>Net Income:</t>
  </si>
  <si>
    <t>Question Fie</t>
  </si>
  <si>
    <t>Earnings Summary</t>
  </si>
  <si>
    <t>Most Recent 12 Months</t>
  </si>
  <si>
    <t>Sells Goods</t>
  </si>
  <si>
    <t>Offers Services</t>
  </si>
  <si>
    <t>Part-Time</t>
  </si>
  <si>
    <t>Full-Time</t>
  </si>
  <si>
    <t>Rent</t>
  </si>
  <si>
    <t>Total Deposits</t>
  </si>
  <si>
    <t>Description</t>
  </si>
  <si>
    <t>$</t>
  </si>
  <si>
    <t>Does your borrower have any large deposits (as defined by Fannie)?</t>
  </si>
  <si>
    <t>Qualifying Net Income (% ownership):</t>
  </si>
  <si>
    <t>Average Monthly 
Qualifying Deposits</t>
  </si>
  <si>
    <t>Are there transfers from other bank accounts?</t>
  </si>
  <si>
    <t>Total business receipts/gross income?</t>
  </si>
  <si>
    <t>Auto/Truck/Insurance</t>
  </si>
  <si>
    <t>Qualifying Monthly Income</t>
  </si>
  <si>
    <t>Business or Personal Account:</t>
  </si>
  <si>
    <t>Both</t>
  </si>
  <si>
    <t>Program Requirements:</t>
  </si>
  <si>
    <t>Business Income compare</t>
  </si>
  <si>
    <t>Personal Income Compare</t>
  </si>
  <si>
    <t>Result_V2</t>
  </si>
  <si>
    <t>&gt;10%</t>
  </si>
  <si>
    <t>&lt;10%</t>
  </si>
  <si>
    <t>Error</t>
  </si>
  <si>
    <t xml:space="preserve">Borrower  Signature: </t>
  </si>
  <si>
    <t>Please complete Step 1 to determine program requirements (business or personal).</t>
  </si>
  <si>
    <t>Please summarize the business expenses…</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</si>
  <si>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</si>
  <si>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Average Monthly Deposits:</t>
  </si>
  <si>
    <t>Monthly Net Income:</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</si>
  <si>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</si>
  <si>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Business Income from initial 1003:</t>
  </si>
  <si>
    <t>TOTAL Deposits:</t>
  </si>
  <si>
    <t># Mo Bank Statements:</t>
  </si>
  <si>
    <t>End date of most recent statement?</t>
  </si>
  <si>
    <t>Month</t>
  </si>
  <si>
    <t>Calculation Option:</t>
  </si>
  <si>
    <t>Qualifying Income:</t>
  </si>
  <si>
    <t>Type of Business:</t>
  </si>
  <si>
    <t># of FTE/Contractors</t>
  </si>
  <si>
    <t>Service Business</t>
  </si>
  <si>
    <t>Product Business</t>
  </si>
  <si>
    <t>Examples: Retail, Food Services/ Restaurant, Manufacturing, Contracting/ Construction</t>
  </si>
  <si>
    <t>1-5</t>
  </si>
  <si>
    <t>Borrower Name:</t>
  </si>
  <si>
    <t>Entity / Business Name:</t>
  </si>
  <si>
    <t>% ownership of the business?</t>
  </si>
  <si>
    <t>Sell goods or offer services?</t>
  </si>
  <si>
    <t>Does the business pay any employees or contractors?</t>
  </si>
  <si>
    <t>Is your borrower using personal Bank statements?</t>
  </si>
  <si>
    <t>If yes….</t>
  </si>
  <si>
    <t>Are there any business expenses in their personal account?</t>
  </si>
  <si>
    <t>Does the borrower keep separate personal &amp; business bank accounts?</t>
  </si>
  <si>
    <t>Are there any NSF fees, overdraft fees, and/or overdraft transfers?</t>
  </si>
  <si>
    <r>
      <t xml:space="preserve">Deposits </t>
    </r>
    <r>
      <rPr>
        <b/>
        <i/>
        <u/>
        <sz val="12"/>
        <color theme="0"/>
        <rFont val="Calibri"/>
        <family val="2"/>
        <scheme val="minor"/>
      </rPr>
      <t>NOT</t>
    </r>
    <r>
      <rPr>
        <b/>
        <i/>
        <sz val="12"/>
        <color theme="0"/>
        <rFont val="Calibri"/>
        <family val="2"/>
        <scheme val="minor"/>
      </rPr>
      <t xml:space="preserve"> from business activity</t>
    </r>
  </si>
  <si>
    <t>Step 2 - Bank Statements Analysis:</t>
  </si>
  <si>
    <t>Step 3 - Qualifying Income</t>
  </si>
  <si>
    <t>Expense Factor</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</si>
  <si>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</si>
  <si>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Bank Statement 
Worksheet</t>
  </si>
  <si>
    <r>
      <t>Deposits</t>
    </r>
    <r>
      <rPr>
        <b/>
        <i/>
        <u/>
        <sz val="12"/>
        <color theme="0"/>
        <rFont val="Calibri"/>
        <family val="2"/>
        <scheme val="minor"/>
      </rPr>
      <t xml:space="preserve"> NOT </t>
    </r>
    <r>
      <rPr>
        <b/>
        <i/>
        <sz val="12"/>
        <color theme="0"/>
        <rFont val="Calibri"/>
        <family val="2"/>
        <scheme val="minor"/>
      </rPr>
      <t>from business activity</t>
    </r>
  </si>
  <si>
    <t>Qualifying Monthly Income (Assets/120)</t>
  </si>
  <si>
    <t>Total</t>
  </si>
  <si>
    <t>$ Using for Closing Costs</t>
  </si>
  <si>
    <t>Total Amount</t>
  </si>
  <si>
    <t>Institution</t>
  </si>
  <si>
    <t>Verified Asset Type</t>
  </si>
  <si>
    <t>Step 2 - Assets:</t>
  </si>
  <si>
    <t>Step 1 - Borrower / Loan Information</t>
  </si>
  <si>
    <t>(A) Monthly Income from Initial 1003:</t>
  </si>
  <si>
    <t>QUALIFYING INCOME:</t>
  </si>
  <si>
    <t>The lower of:</t>
  </si>
  <si>
    <t>Loan Amount:</t>
  </si>
  <si>
    <t>Downpayment:</t>
  </si>
  <si>
    <t>Total Loan Costs:</t>
  </si>
  <si>
    <t>Closing Costs:</t>
  </si>
  <si>
    <t>- Reserves
- Payment shock not applicable</t>
  </si>
  <si>
    <t>Not permitted:</t>
  </si>
  <si>
    <t xml:space="preserve">Not Required:
</t>
  </si>
  <si>
    <t>LTV:</t>
  </si>
  <si>
    <t>Qualified Assets</t>
  </si>
  <si>
    <t>Net Deposits</t>
  </si>
  <si>
    <t>TOTAL NET DEPOSITS:</t>
  </si>
  <si>
    <t>BORROWER PREPARED P&amp;L or EARNINGS SUMMARY (ES)</t>
  </si>
  <si>
    <t>Net Income x % ownership:</t>
  </si>
  <si>
    <t>Example: A home-based sole practitioner therapist/consultant can be expected to have a low expense ratio, while a retail business that has a full staff of employees and relies heavily on inventory to generate income will have a high expense ratio.</t>
  </si>
  <si>
    <t>Net Assets</t>
  </si>
  <si>
    <t>Service</t>
  </si>
  <si>
    <t>Product</t>
  </si>
  <si>
    <t>Service Business (offers services)</t>
  </si>
  <si>
    <t>Product Business (sells goods)</t>
  </si>
  <si>
    <t>Examples: Consulting, Accounting, Legal, Therapy, Counseling, Financial Planning, Insurance, Information Technology</t>
  </si>
  <si>
    <r>
      <t xml:space="preserve"># of FTE/Contractors </t>
    </r>
    <r>
      <rPr>
        <b/>
        <sz val="10"/>
        <color theme="1"/>
        <rFont val="Calibri"/>
        <family val="2"/>
        <scheme val="minor"/>
      </rPr>
      <t>(does not include borrower)</t>
    </r>
  </si>
  <si>
    <t>Other: ______________________</t>
  </si>
  <si>
    <t>(B) Monthly Expense Statement Calculation:
(above)</t>
  </si>
  <si>
    <t>Avg. Mo. Net Deposits:</t>
  </si>
  <si>
    <t xml:space="preserve">Multiply by Expense Factor </t>
  </si>
  <si>
    <t>Multiply % Ownership</t>
  </si>
  <si>
    <t>Option 1:
EXPENSE FACTOR</t>
  </si>
  <si>
    <r>
      <t xml:space="preserve">Rent space? </t>
    </r>
    <r>
      <rPr>
        <b/>
        <sz val="8"/>
        <color theme="1"/>
        <rFont val="Calibri"/>
        <family val="2"/>
        <scheme val="minor"/>
      </rPr>
      <t>i.e. Office, warehouse, storefront etc.</t>
    </r>
  </si>
  <si>
    <t xml:space="preserve">- Cash-Out                             - Gift Funds
- Non-Owner Occ                 - Foreign Assets
- Recent Event </t>
  </si>
  <si>
    <t>Asset Utilization Worksheet</t>
  </si>
  <si>
    <t>Are they met?</t>
  </si>
  <si>
    <t>Prior 12 Months (if applicable)</t>
  </si>
  <si>
    <r>
      <t xml:space="preserve">Option 2:
BORROWER PREPARED P&amp;L or EARNINGS SUMMARY (ES) 
</t>
    </r>
    <r>
      <rPr>
        <b/>
        <sz val="11"/>
        <color theme="0"/>
        <rFont val="Calibri"/>
        <family val="2"/>
        <scheme val="minor"/>
      </rPr>
      <t>(same time period as deposits)</t>
    </r>
  </si>
  <si>
    <t xml:space="preserve">Business receipts/gross income? </t>
  </si>
  <si>
    <t>Please summarize the total business expenses…</t>
  </si>
  <si>
    <t>Loan Program:</t>
  </si>
  <si>
    <t>Expanded Access Core</t>
  </si>
  <si>
    <t>Expanded Access Plus</t>
  </si>
  <si>
    <t>Checking, Savings, or Money Account (100%)</t>
  </si>
  <si>
    <t>WAGE EARNERS:</t>
  </si>
  <si>
    <t>Previous Year W2 or 1099:</t>
  </si>
  <si>
    <t>SELF-EMPLOYED:</t>
  </si>
  <si>
    <t>Most recent pay stub (incl. YTD earnings)</t>
  </si>
  <si>
    <t>Previous Year Personal Tax Return Net Income</t>
  </si>
  <si>
    <t>Previous Year Business Tax Return Net Income</t>
  </si>
  <si>
    <t>(A) Monthly average of net income from tax return and P&amp;L/ES</t>
  </si>
  <si>
    <t>% Ownership in Business</t>
  </si>
  <si>
    <t>(B) Monthly Tax Return Net Income multiplied by 115%</t>
  </si>
  <si>
    <t>(A) ??????</t>
  </si>
  <si>
    <t>(B) ??????????</t>
  </si>
  <si>
    <t>Express Doc Worksheet</t>
  </si>
  <si>
    <t>Plus</t>
  </si>
  <si>
    <t>Core</t>
  </si>
  <si>
    <t>Program Type</t>
  </si>
  <si>
    <t># of Months Covering:</t>
  </si>
  <si>
    <t>YTD P&amp;L/Earnings Summary:</t>
  </si>
  <si>
    <t>Jon Snow</t>
  </si>
  <si>
    <t>FICO:</t>
  </si>
  <si>
    <t>&gt;5</t>
  </si>
  <si>
    <t>1.</t>
  </si>
  <si>
    <t>2.</t>
  </si>
  <si>
    <t>Stocks, Bonds or Mutual Fund (Core: 85%, Plus: 80%)</t>
  </si>
  <si>
    <t>Vested Retirement Account (Core: 80%, Plus: 70%)</t>
  </si>
  <si>
    <t>OREO Home Equity (Residential Only) (Core Only: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</si>
</sst>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68" x14ac:knownFonts="1">
    <font>
      <sz val="11"/>
      <color theme="1"/>
      <name val="Calibri"/>
      <family val="2"/>
      <scheme val="minor"/>
    </font>
    <font>
      <sz val="10"/>
      <color theme="1"/>
      <name val="Segoe UI"/>
      <family val="2"/>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b/>
      <sz val="14"/>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i/>
      <sz val="12"/>
      <color rgb="FFFF000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2"/>
      <color theme="0"/>
      <name val="Calibri"/>
      <family val="2"/>
      <scheme val="minor"/>
    </font>
    <font>
      <b/>
      <sz val="12"/>
      <name val="Calibri"/>
      <family val="2"/>
      <scheme val="minor"/>
    </font>
    <font>
      <sz val="10"/>
      <color theme="1"/>
      <name val="Calibri"/>
      <family val="2"/>
      <scheme val="minor"/>
    </font>
    <font>
      <b/>
      <sz val="10"/>
      <color theme="1"/>
      <name val="Calibri"/>
      <family val="2"/>
      <scheme val="minor"/>
    </font>
    <font>
      <b/>
      <i/>
      <u/>
      <sz val="12"/>
      <color theme="0"/>
      <name val="Calibri"/>
      <family val="2"/>
      <scheme val="minor"/>
    </font>
    <font>
      <i/>
      <sz val="11"/>
      <color theme="1"/>
      <name val="Calibri"/>
      <family val="2"/>
      <scheme val="minor"/>
    </font>
    <font>
      <b/>
      <i/>
      <sz val="11"/>
      <color theme="1"/>
      <name val="Calibri"/>
      <family val="2"/>
      <scheme val="minor"/>
    </font>
    <font>
      <b/>
      <sz val="10"/>
      <name val="Calibri"/>
      <family val="2"/>
      <scheme val="minor"/>
    </font>
    <font>
      <sz val="14"/>
      <color rgb="FFFF000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733">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9" fillId="0" borderId="0" xfId="0" applyNumberFormat="1" applyFont="1" applyBorder="1" applyAlignment="1" applyProtection="1">
      <alignment vertical="center"/>
    </xf>
    <xf numFmtId="165" fontId="9" fillId="0" borderId="0" xfId="0" applyNumberFormat="1" applyFont="1" applyBorder="1" applyAlignment="1" applyProtection="1">
      <alignment horizontal="center" vertical="center"/>
    </xf>
    <xf numFmtId="0" fontId="0" fillId="0" borderId="0" xfId="0" applyFill="1" applyBorder="1" applyProtection="1"/>
    <xf numFmtId="0" fontId="3" fillId="0" borderId="0" xfId="0" applyFont="1" applyProtection="1"/>
    <xf numFmtId="0" fontId="0" fillId="0" borderId="2" xfId="0" applyBorder="1" applyProtection="1"/>
    <xf numFmtId="0" fontId="0" fillId="0" borderId="4" xfId="0" applyBorder="1" applyProtection="1"/>
    <xf numFmtId="14" fontId="7" fillId="0" borderId="0" xfId="0" applyNumberFormat="1" applyFont="1" applyBorder="1" applyAlignment="1" applyProtection="1"/>
    <xf numFmtId="0" fontId="0" fillId="0" borderId="5" xfId="0" applyBorder="1" applyProtection="1"/>
    <xf numFmtId="0" fontId="9" fillId="0" borderId="0" xfId="0" applyFont="1" applyBorder="1" applyAlignment="1" applyProtection="1">
      <alignment horizontal="right"/>
    </xf>
    <xf numFmtId="164" fontId="9" fillId="0" borderId="0" xfId="0" applyNumberFormat="1" applyFont="1" applyBorder="1" applyProtection="1"/>
    <xf numFmtId="0" fontId="9" fillId="0" borderId="0" xfId="0" applyFont="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xf numFmtId="164" fontId="16"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9" fillId="2" borderId="4" xfId="0" applyFont="1" applyFill="1" applyBorder="1" applyAlignment="1" applyProtection="1">
      <alignment vertical="center"/>
    </xf>
    <xf numFmtId="0" fontId="4" fillId="0" borderId="4" xfId="0" applyFont="1" applyBorder="1" applyProtection="1"/>
    <xf numFmtId="0" fontId="1" fillId="0" borderId="0" xfId="0" applyFont="1" applyAlignment="1">
      <alignment horizontal="left"/>
    </xf>
    <xf numFmtId="0" fontId="0" fillId="0" borderId="10" xfId="0" applyBorder="1" applyProtection="1"/>
    <xf numFmtId="0" fontId="1" fillId="0" borderId="0" xfId="0" applyFont="1" applyAlignment="1">
      <alignment horizontal="center"/>
    </xf>
    <xf numFmtId="14" fontId="0" fillId="0" borderId="0" xfId="0" applyNumberFormat="1" applyProtection="1"/>
    <xf numFmtId="164" fontId="9" fillId="0" borderId="0" xfId="0" applyNumberFormat="1" applyFont="1" applyBorder="1" applyAlignment="1" applyProtection="1">
      <alignment horizontal="center" vertical="center"/>
    </xf>
    <xf numFmtId="0" fontId="2" fillId="2" borderId="0" xfId="0" applyFont="1" applyFill="1" applyBorder="1" applyAlignment="1" applyProtection="1">
      <alignment horizontal="right"/>
    </xf>
    <xf numFmtId="0" fontId="2" fillId="0" borderId="17" xfId="0" applyFont="1" applyBorder="1" applyAlignment="1" applyProtection="1">
      <alignment wrapText="1"/>
    </xf>
    <xf numFmtId="0" fontId="3" fillId="0" borderId="9" xfId="0" applyFont="1" applyBorder="1" applyAlignment="1" applyProtection="1">
      <alignment wrapText="1"/>
    </xf>
    <xf numFmtId="0" fontId="0" fillId="0" borderId="5" xfId="0" applyBorder="1" applyAlignment="1" applyProtection="1"/>
    <xf numFmtId="0" fontId="2"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9"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2"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2" borderId="10" xfId="0" applyFont="1" applyFill="1" applyBorder="1" applyAlignment="1" applyProtection="1">
      <alignment wrapText="1"/>
    </xf>
    <xf numFmtId="165" fontId="9" fillId="0" borderId="10" xfId="0" applyNumberFormat="1" applyFont="1" applyBorder="1" applyAlignment="1" applyProtection="1">
      <alignment horizontal="center" vertical="center"/>
    </xf>
    <xf numFmtId="165" fontId="0" fillId="0" borderId="10" xfId="0" applyNumberFormat="1" applyBorder="1" applyProtection="1"/>
    <xf numFmtId="0" fontId="12"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6" fillId="0" borderId="10" xfId="0" applyFont="1" applyFill="1" applyBorder="1" applyAlignment="1" applyProtection="1"/>
    <xf numFmtId="0" fontId="0" fillId="0" borderId="10" xfId="0" applyBorder="1" applyAlignment="1" applyProtection="1">
      <alignment wrapText="1"/>
    </xf>
    <xf numFmtId="0" fontId="0" fillId="0" borderId="11" xfId="0" applyBorder="1" applyAlignment="1" applyProtection="1">
      <alignment wrapText="1"/>
    </xf>
    <xf numFmtId="0" fontId="8" fillId="2" borderId="0" xfId="0" applyFont="1" applyFill="1" applyBorder="1" applyAlignment="1" applyProtection="1"/>
    <xf numFmtId="0" fontId="0" fillId="0" borderId="0" xfId="0" applyBorder="1" applyAlignment="1" applyProtection="1">
      <alignment vertical="center"/>
    </xf>
    <xf numFmtId="0" fontId="8" fillId="0" borderId="0" xfId="0" applyFont="1" applyFill="1" applyBorder="1" applyProtection="1"/>
    <xf numFmtId="164" fontId="14" fillId="0" borderId="0" xfId="0" applyNumberFormat="1" applyFont="1" applyFill="1" applyBorder="1" applyAlignment="1" applyProtection="1">
      <alignment horizontal="center" vertical="center"/>
    </xf>
    <xf numFmtId="164" fontId="14" fillId="0" borderId="0" xfId="0" applyNumberFormat="1" applyFont="1" applyFill="1" applyBorder="1" applyAlignment="1" applyProtection="1">
      <alignment horizont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right"/>
    </xf>
    <xf numFmtId="14" fontId="16" fillId="2" borderId="0" xfId="0" applyNumberFormat="1" applyFont="1" applyFill="1" applyBorder="1" applyAlignment="1" applyProtection="1">
      <alignment horizontal="left"/>
    </xf>
    <xf numFmtId="14" fontId="15"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9"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7" fillId="2" borderId="4"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24"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30" fillId="0" borderId="0" xfId="0" applyFont="1" applyBorder="1" applyAlignment="1" applyProtection="1">
      <alignment vertical="top" wrapText="1"/>
    </xf>
    <xf numFmtId="0" fontId="9" fillId="0" borderId="4" xfId="0" applyFont="1" applyBorder="1" applyAlignment="1" applyProtection="1">
      <alignment horizontal="center" wrapText="1"/>
    </xf>
    <xf numFmtId="0" fontId="20" fillId="0" borderId="5" xfId="0" applyFont="1" applyBorder="1" applyAlignment="1" applyProtection="1">
      <alignment vertical="top" wrapText="1"/>
    </xf>
    <xf numFmtId="0" fontId="17" fillId="3" borderId="0"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165" fontId="32" fillId="0" borderId="0" xfId="0" applyNumberFormat="1" applyFont="1" applyBorder="1" applyAlignment="1" applyProtection="1">
      <alignment vertical="center" wrapText="1"/>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xf>
    <xf numFmtId="164" fontId="9" fillId="0" borderId="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9" fillId="0" borderId="0" xfId="0" applyFont="1" applyBorder="1" applyAlignment="1" applyProtection="1">
      <alignment horizontal="right" vertical="center"/>
    </xf>
    <xf numFmtId="164" fontId="9"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0" fontId="40" fillId="2" borderId="0" xfId="0" applyFont="1" applyFill="1" applyBorder="1" applyAlignment="1" applyProtection="1">
      <alignment horizontal="center" vertical="center"/>
    </xf>
    <xf numFmtId="0" fontId="0" fillId="0" borderId="10" xfId="0" applyBorder="1" applyAlignment="1" applyProtection="1"/>
    <xf numFmtId="165" fontId="38"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7" fillId="0" borderId="0" xfId="0" applyNumberFormat="1" applyFont="1" applyBorder="1" applyAlignment="1" applyProtection="1">
      <alignment vertical="center"/>
    </xf>
    <xf numFmtId="0" fontId="0" fillId="2" borderId="0" xfId="0" applyFill="1" applyBorder="1" applyAlignment="1" applyProtection="1">
      <alignment horizontal="center"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2" borderId="4" xfId="0" applyFont="1" applyFill="1" applyBorder="1" applyAlignment="1" applyProtection="1">
      <alignment horizontal="left" vertical="center" indent="3"/>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9" fillId="2" borderId="4" xfId="0" applyNumberFormat="1" applyFont="1" applyFill="1" applyBorder="1" applyAlignment="1" applyProtection="1">
      <alignment vertical="center" wrapText="1"/>
    </xf>
    <xf numFmtId="165" fontId="39" fillId="2" borderId="0" xfId="0" applyNumberFormat="1" applyFont="1" applyFill="1" applyBorder="1" applyAlignment="1" applyProtection="1">
      <alignment vertical="center" wrapText="1"/>
    </xf>
    <xf numFmtId="0" fontId="6" fillId="0" borderId="0" xfId="0" applyFont="1" applyBorder="1" applyAlignment="1" applyProtection="1">
      <alignment horizontal="center"/>
    </xf>
    <xf numFmtId="0" fontId="42" fillId="8" borderId="16"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10" fillId="5" borderId="27"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164" fontId="9" fillId="0" borderId="0" xfId="0" applyNumberFormat="1" applyFont="1" applyBorder="1" applyAlignment="1" applyProtection="1">
      <alignment horizontal="left"/>
    </xf>
    <xf numFmtId="0" fontId="9" fillId="2" borderId="4" xfId="0" applyFont="1" applyFill="1" applyBorder="1" applyAlignment="1" applyProtection="1">
      <alignment wrapText="1"/>
    </xf>
    <xf numFmtId="0" fontId="1" fillId="0" borderId="16" xfId="0" applyFont="1" applyBorder="1" applyAlignment="1">
      <alignment horizontal="left" wrapText="1"/>
    </xf>
    <xf numFmtId="0" fontId="44" fillId="0" borderId="0" xfId="0" applyFont="1" applyAlignment="1">
      <alignment horizontal="left" vertical="center"/>
    </xf>
    <xf numFmtId="9" fontId="2" fillId="2" borderId="0" xfId="1"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168" fontId="9" fillId="6" borderId="16" xfId="2" applyNumberFormat="1" applyFont="1" applyFill="1" applyBorder="1" applyAlignment="1" applyProtection="1">
      <alignment horizontal="center" vertical="center"/>
    </xf>
    <xf numFmtId="168" fontId="4" fillId="4" borderId="16" xfId="2" applyNumberFormat="1" applyFont="1" applyFill="1" applyBorder="1" applyAlignment="1" applyProtection="1">
      <alignment horizontal="center"/>
      <protection locked="0"/>
    </xf>
    <xf numFmtId="168" fontId="2" fillId="4" borderId="16" xfId="2" applyNumberFormat="1" applyFont="1" applyFill="1" applyBorder="1" applyAlignment="1" applyProtection="1">
      <alignment horizontal="center"/>
      <protection locked="0"/>
    </xf>
    <xf numFmtId="168" fontId="9" fillId="0" borderId="0" xfId="2" applyNumberFormat="1" applyFont="1" applyBorder="1" applyAlignment="1" applyProtection="1">
      <alignment horizontal="center" vertical="center"/>
    </xf>
    <xf numFmtId="168" fontId="9" fillId="4" borderId="16" xfId="2"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xf>
    <xf numFmtId="0" fontId="4" fillId="0" borderId="0" xfId="0" applyFont="1" applyBorder="1" applyAlignment="1" applyProtection="1">
      <alignment horizontal="left"/>
    </xf>
    <xf numFmtId="0" fontId="9" fillId="2" borderId="0" xfId="0" applyFont="1" applyFill="1" applyBorder="1" applyAlignment="1" applyProtection="1">
      <alignment horizontal="right" vertical="center"/>
    </xf>
    <xf numFmtId="0" fontId="1" fillId="0" borderId="16" xfId="0" applyFont="1" applyBorder="1" applyAlignment="1">
      <alignment horizontal="left"/>
    </xf>
    <xf numFmtId="0" fontId="44" fillId="0" borderId="16" xfId="0" applyFont="1" applyBorder="1" applyAlignment="1">
      <alignment horizontal="left" vertical="center"/>
    </xf>
    <xf numFmtId="169" fontId="1" fillId="0" borderId="0" xfId="1" applyNumberFormat="1" applyFont="1" applyAlignment="1">
      <alignment horizontal="left"/>
    </xf>
    <xf numFmtId="169" fontId="1" fillId="9" borderId="0" xfId="1" applyNumberFormat="1" applyFont="1" applyFill="1" applyAlignment="1">
      <alignment horizontal="left"/>
    </xf>
    <xf numFmtId="9" fontId="1"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1" fillId="0" borderId="0" xfId="1" quotePrefix="1" applyNumberFormat="1" applyFont="1" applyAlignment="1">
      <alignment horizontal="left"/>
    </xf>
    <xf numFmtId="169" fontId="1" fillId="9" borderId="0" xfId="1" quotePrefix="1" applyNumberFormat="1" applyFont="1" applyFill="1" applyAlignment="1">
      <alignment horizontal="left"/>
    </xf>
    <xf numFmtId="14" fontId="2"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0" fontId="9" fillId="2" borderId="0" xfId="0" applyFont="1" applyFill="1" applyBorder="1" applyAlignment="1" applyProtection="1">
      <alignment horizontal="right" vertical="center"/>
    </xf>
    <xf numFmtId="168" fontId="9" fillId="2" borderId="0" xfId="2" applyNumberFormat="1"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0" fillId="0" borderId="5" xfId="0" applyBorder="1"/>
    <xf numFmtId="0" fontId="9"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168" fontId="48" fillId="10" borderId="16" xfId="2"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164" fontId="46" fillId="0" borderId="0" xfId="0" applyNumberFormat="1" applyFont="1" applyBorder="1" applyAlignment="1" applyProtection="1">
      <alignment horizontal="center" vertical="top"/>
    </xf>
    <xf numFmtId="0" fontId="32"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36" fillId="0" borderId="0" xfId="0" applyFont="1" applyBorder="1" applyAlignment="1" applyProtection="1">
      <alignment horizontal="center" vertical="top"/>
    </xf>
    <xf numFmtId="0" fontId="9" fillId="2" borderId="0" xfId="0" applyFont="1" applyFill="1" applyBorder="1" applyAlignment="1" applyProtection="1">
      <alignment horizontal="right" vertical="center"/>
    </xf>
    <xf numFmtId="0" fontId="14" fillId="0" borderId="0" xfId="0" applyFont="1" applyBorder="1" applyAlignment="1" applyProtection="1">
      <alignment vertical="center"/>
    </xf>
    <xf numFmtId="0" fontId="49" fillId="2" borderId="4" xfId="0" applyFont="1" applyFill="1" applyBorder="1" applyAlignment="1" applyProtection="1">
      <alignment horizontal="left" vertical="center" indent="3"/>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9" fontId="14" fillId="2" borderId="0" xfId="1" applyFont="1" applyFill="1" applyBorder="1" applyAlignment="1" applyProtection="1">
      <alignment horizontal="center"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14" fillId="0" borderId="0" xfId="0" applyFont="1" applyAlignment="1" applyProtection="1">
      <alignment vertical="center"/>
    </xf>
    <xf numFmtId="0" fontId="14" fillId="0" borderId="5" xfId="0" applyFont="1" applyBorder="1" applyAlignment="1" applyProtection="1">
      <alignment horizontal="left" vertical="center"/>
    </xf>
    <xf numFmtId="0" fontId="14" fillId="0" borderId="0" xfId="0" applyFont="1" applyAlignment="1" applyProtection="1">
      <alignment horizontal="left" vertical="center"/>
    </xf>
    <xf numFmtId="0" fontId="51" fillId="0" borderId="0" xfId="0" applyFont="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164" fontId="10" fillId="0" borderId="0" xfId="0" applyNumberFormat="1" applyFont="1" applyBorder="1" applyAlignment="1" applyProtection="1">
      <alignment vertical="center"/>
    </xf>
    <xf numFmtId="164" fontId="9" fillId="0" borderId="0" xfId="0" applyNumberFormat="1" applyFont="1" applyBorder="1" applyAlignment="1" applyProtection="1">
      <alignment horizontal="center"/>
    </xf>
    <xf numFmtId="164" fontId="10" fillId="0" borderId="0" xfId="0" applyNumberFormat="1" applyFont="1" applyBorder="1" applyAlignment="1" applyProtection="1">
      <alignment horizontal="center" vertical="center"/>
    </xf>
    <xf numFmtId="0" fontId="49" fillId="0" borderId="0" xfId="0" applyFont="1" applyBorder="1" applyAlignment="1" applyProtection="1">
      <alignment vertical="center"/>
    </xf>
    <xf numFmtId="0" fontId="0" fillId="0" borderId="0" xfId="0" applyBorder="1"/>
    <xf numFmtId="0" fontId="14" fillId="0" borderId="0" xfId="0" applyFont="1" applyBorder="1" applyProtection="1"/>
    <xf numFmtId="0" fontId="14" fillId="4" borderId="16" xfId="0" applyFont="1" applyFill="1" applyBorder="1" applyProtection="1">
      <protection locked="0"/>
    </xf>
    <xf numFmtId="0" fontId="14" fillId="2" borderId="0" xfId="0" applyFont="1" applyFill="1" applyBorder="1" applyProtection="1">
      <protection locked="0"/>
    </xf>
    <xf numFmtId="0" fontId="14" fillId="0" borderId="0" xfId="0" applyFont="1" applyBorder="1"/>
    <xf numFmtId="0" fontId="0" fillId="2" borderId="0" xfId="0" applyFill="1" applyBorder="1"/>
    <xf numFmtId="0" fontId="2" fillId="0" borderId="0" xfId="0" applyFont="1" applyProtection="1"/>
    <xf numFmtId="0" fontId="25" fillId="0" borderId="0" xfId="0" applyFont="1" applyBorder="1" applyAlignment="1" applyProtection="1">
      <alignment vertical="center"/>
    </xf>
    <xf numFmtId="165" fontId="2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4" fillId="2" borderId="0" xfId="0" applyFont="1" applyFill="1" applyBorder="1" applyAlignment="1" applyProtection="1">
      <alignment horizontal="right"/>
    </xf>
    <xf numFmtId="0" fontId="6" fillId="2" borderId="0" xfId="0" applyFont="1" applyFill="1" applyBorder="1" applyAlignment="1">
      <alignment horizontal="center" vertical="center"/>
    </xf>
    <xf numFmtId="0" fontId="14" fillId="0" borderId="0" xfId="0" applyFont="1" applyBorder="1" applyAlignment="1">
      <alignment horizontal="center"/>
    </xf>
    <xf numFmtId="0" fontId="0" fillId="0" borderId="13" xfId="0" applyBorder="1"/>
    <xf numFmtId="0" fontId="9" fillId="0" borderId="0" xfId="0" applyFont="1" applyBorder="1" applyAlignment="1">
      <alignment horizontal="right" vertical="center"/>
    </xf>
    <xf numFmtId="0" fontId="6" fillId="2" borderId="14" xfId="0" applyFont="1" applyFill="1" applyBorder="1" applyAlignment="1">
      <alignment horizontal="center" vertical="center"/>
    </xf>
    <xf numFmtId="168" fontId="9" fillId="2" borderId="14" xfId="2" applyNumberFormat="1" applyFont="1" applyFill="1" applyBorder="1" applyAlignment="1" applyProtection="1">
      <alignment horizontal="center" vertical="center"/>
    </xf>
    <xf numFmtId="168" fontId="9" fillId="0" borderId="14" xfId="2" applyNumberFormat="1" applyFont="1" applyBorder="1" applyAlignment="1" applyProtection="1">
      <alignment horizontal="center" vertical="center"/>
    </xf>
    <xf numFmtId="0" fontId="20" fillId="0" borderId="0" xfId="0" applyFont="1" applyBorder="1" applyAlignment="1" applyProtection="1">
      <alignment wrapText="1"/>
    </xf>
    <xf numFmtId="0" fontId="20" fillId="0" borderId="0" xfId="0" applyFont="1" applyBorder="1" applyAlignment="1" applyProtection="1"/>
    <xf numFmtId="0" fontId="11" fillId="2" borderId="14" xfId="0" applyFont="1" applyFill="1" applyBorder="1" applyAlignment="1" applyProtection="1">
      <alignment vertical="center"/>
    </xf>
    <xf numFmtId="0" fontId="0" fillId="2" borderId="13" xfId="0" applyFill="1" applyBorder="1"/>
    <xf numFmtId="0" fontId="20" fillId="0" borderId="14" xfId="0" applyFont="1" applyBorder="1" applyAlignment="1" applyProtection="1">
      <alignment wrapText="1"/>
    </xf>
    <xf numFmtId="0" fontId="0" fillId="0" borderId="23" xfId="0" applyBorder="1"/>
    <xf numFmtId="0" fontId="0" fillId="0" borderId="12" xfId="0" applyBorder="1"/>
    <xf numFmtId="0" fontId="11" fillId="2" borderId="24" xfId="0" applyFont="1" applyFill="1" applyBorder="1" applyAlignment="1" applyProtection="1">
      <alignment vertical="center"/>
    </xf>
    <xf numFmtId="0" fontId="20" fillId="0" borderId="0" xfId="0" applyFont="1" applyBorder="1" applyProtection="1"/>
    <xf numFmtId="0" fontId="0" fillId="0" borderId="12" xfId="0" applyBorder="1" applyAlignment="1">
      <alignment horizontal="center"/>
    </xf>
    <xf numFmtId="0" fontId="0" fillId="2" borderId="13" xfId="0" applyFill="1" applyBorder="1" applyAlignment="1"/>
    <xf numFmtId="0" fontId="0" fillId="0" borderId="14" xfId="0" applyBorder="1" applyAlignment="1"/>
    <xf numFmtId="0" fontId="47" fillId="0" borderId="0" xfId="0" applyFont="1" applyAlignment="1" applyProtection="1">
      <alignment vertical="top" wrapText="1"/>
      <protection locked="0"/>
    </xf>
    <xf numFmtId="168" fontId="9" fillId="0" borderId="12" xfId="2" applyNumberFormat="1" applyFont="1" applyBorder="1" applyAlignment="1" applyProtection="1">
      <alignment horizontal="center" vertical="center"/>
    </xf>
    <xf numFmtId="0" fontId="0" fillId="0" borderId="14" xfId="0" applyBorder="1" applyProtection="1"/>
    <xf numFmtId="0" fontId="49" fillId="2" borderId="0" xfId="0" applyFont="1" applyFill="1" applyBorder="1" applyAlignment="1" applyProtection="1">
      <alignment vertical="top"/>
    </xf>
    <xf numFmtId="0" fontId="14" fillId="2" borderId="0" xfId="0" applyFont="1" applyFill="1" applyBorder="1" applyAlignment="1" applyProtection="1">
      <alignment vertical="center"/>
      <protection locked="0"/>
    </xf>
    <xf numFmtId="0" fontId="49" fillId="2" borderId="0" xfId="0" applyFont="1" applyFill="1" applyBorder="1" applyAlignment="1" applyProtection="1">
      <alignment vertical="top" wrapText="1"/>
    </xf>
    <xf numFmtId="0" fontId="14" fillId="0" borderId="0" xfId="0" applyFont="1" applyBorder="1" applyAlignment="1" applyProtection="1">
      <alignment horizontal="left" vertical="center"/>
    </xf>
    <xf numFmtId="0" fontId="14" fillId="2" borderId="0" xfId="0" applyFont="1" applyFill="1" applyBorder="1" applyAlignment="1" applyProtection="1">
      <alignment horizontal="left" vertical="center"/>
    </xf>
    <xf numFmtId="9" fontId="14" fillId="2" borderId="0" xfId="1" applyFont="1" applyFill="1" applyBorder="1" applyAlignment="1" applyProtection="1">
      <alignment vertical="center"/>
      <protection locked="0"/>
    </xf>
    <xf numFmtId="0" fontId="50" fillId="0" borderId="0" xfId="0" applyFont="1" applyBorder="1" applyAlignment="1" applyProtection="1">
      <alignment vertical="center" wrapText="1"/>
    </xf>
    <xf numFmtId="166" fontId="49" fillId="3" borderId="16" xfId="0" applyNumberFormat="1" applyFont="1" applyFill="1" applyBorder="1" applyAlignment="1" applyProtection="1">
      <alignment horizontal="center" vertical="center"/>
    </xf>
    <xf numFmtId="167" fontId="49" fillId="3" borderId="16" xfId="0" applyNumberFormat="1" applyFont="1" applyFill="1" applyBorder="1" applyAlignment="1" applyProtection="1">
      <alignment horizontal="center" vertical="center"/>
    </xf>
    <xf numFmtId="0" fontId="0" fillId="0" borderId="12" xfId="0" applyBorder="1" applyAlignment="1" applyProtection="1">
      <alignment horizontal="center"/>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2" fillId="2" borderId="14" xfId="2" applyNumberFormat="1" applyFont="1" applyFill="1" applyBorder="1" applyAlignment="1" applyProtection="1">
      <alignment horizontal="center"/>
      <protection locked="0"/>
    </xf>
    <xf numFmtId="0" fontId="9" fillId="2" borderId="14" xfId="2" applyNumberFormat="1" applyFont="1" applyFill="1" applyBorder="1" applyAlignment="1" applyProtection="1">
      <alignment horizontal="center" vertical="center"/>
    </xf>
    <xf numFmtId="0" fontId="14" fillId="2" borderId="8" xfId="0" applyFont="1" applyFill="1" applyBorder="1" applyAlignment="1" applyProtection="1">
      <alignment horizontal="center" vertical="center"/>
      <protection locked="0"/>
    </xf>
    <xf numFmtId="0" fontId="35" fillId="0" borderId="0" xfId="0" applyFont="1" applyBorder="1" applyAlignment="1" applyProtection="1">
      <alignment horizontal="left" vertical="center" wrapText="1" indent="1"/>
    </xf>
    <xf numFmtId="0" fontId="0" fillId="2" borderId="9" xfId="0" applyFill="1" applyBorder="1"/>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9" fillId="2" borderId="0" xfId="0" applyFont="1" applyFill="1" applyBorder="1" applyAlignment="1" applyProtection="1">
      <alignment horizontal="right" vertical="center"/>
    </xf>
    <xf numFmtId="0" fontId="6" fillId="2" borderId="16" xfId="0" applyFont="1" applyFill="1" applyBorder="1" applyAlignment="1">
      <alignment horizontal="center"/>
    </xf>
    <xf numFmtId="49" fontId="6" fillId="2" borderId="16" xfId="0" applyNumberFormat="1" applyFont="1" applyFill="1" applyBorder="1" applyAlignment="1">
      <alignment horizontal="center"/>
    </xf>
    <xf numFmtId="0" fontId="1" fillId="0" borderId="0" xfId="0" applyFont="1" applyBorder="1" applyAlignment="1">
      <alignment horizontal="left"/>
    </xf>
    <xf numFmtId="0" fontId="59" fillId="2" borderId="0" xfId="0" applyFont="1" applyFill="1" applyBorder="1" applyAlignment="1">
      <alignment vertical="center" wrapText="1"/>
    </xf>
    <xf numFmtId="0" fontId="10" fillId="2" borderId="0" xfId="0" applyFont="1" applyFill="1" applyBorder="1" applyAlignment="1">
      <alignment vertical="center" wrapText="1"/>
    </xf>
    <xf numFmtId="0" fontId="11" fillId="2" borderId="31" xfId="0" applyFont="1" applyFill="1" applyBorder="1" applyAlignment="1" applyProtection="1">
      <alignment vertical="center"/>
    </xf>
    <xf numFmtId="0" fontId="49" fillId="2" borderId="0" xfId="0" applyFont="1" applyFill="1" applyBorder="1" applyAlignment="1">
      <alignment horizontal="center" vertical="center"/>
    </xf>
    <xf numFmtId="164" fontId="9" fillId="0" borderId="0" xfId="0" applyNumberFormat="1" applyFont="1" applyBorder="1" applyAlignment="1" applyProtection="1">
      <alignment horizontal="right" vertical="center"/>
    </xf>
    <xf numFmtId="0" fontId="9" fillId="2" borderId="4" xfId="0" applyFont="1" applyFill="1" applyBorder="1" applyAlignment="1" applyProtection="1">
      <alignment horizontal="left" vertical="center" indent="6"/>
    </xf>
    <xf numFmtId="0" fontId="60" fillId="0" borderId="0" xfId="0" applyFont="1" applyBorder="1" applyAlignment="1" applyProtection="1">
      <alignment vertical="center" wrapText="1"/>
    </xf>
    <xf numFmtId="9" fontId="1" fillId="0" borderId="0" xfId="0" applyNumberFormat="1" applyFont="1" applyAlignment="1">
      <alignment horizontal="left"/>
    </xf>
    <xf numFmtId="168" fontId="49"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58" fillId="2" borderId="0" xfId="0" applyFont="1" applyFill="1" applyBorder="1" applyAlignment="1" applyProtection="1">
      <alignment horizontal="center" vertical="top"/>
      <protection locked="0"/>
    </xf>
    <xf numFmtId="0" fontId="14" fillId="0" borderId="0" xfId="0" applyFont="1" applyBorder="1" applyAlignment="1">
      <alignment vertical="center"/>
    </xf>
    <xf numFmtId="0" fontId="49" fillId="0" borderId="0" xfId="0" applyFont="1" applyBorder="1" applyAlignment="1">
      <alignment horizontal="right" vertical="center"/>
    </xf>
    <xf numFmtId="0" fontId="14" fillId="0" borderId="0" xfId="0" applyFont="1" applyBorder="1" applyAlignment="1">
      <alignment horizontal="left" vertical="center" indent="2"/>
    </xf>
    <xf numFmtId="0" fontId="14" fillId="0" borderId="0" xfId="0" applyFont="1" applyBorder="1" applyAlignment="1">
      <alignment horizontal="left" indent="2"/>
    </xf>
    <xf numFmtId="0" fontId="61" fillId="0" borderId="0" xfId="0" applyFont="1" applyBorder="1" applyAlignment="1">
      <alignment horizontal="left" indent="1"/>
    </xf>
    <xf numFmtId="0" fontId="49" fillId="2" borderId="0" xfId="0" applyFont="1" applyFill="1" applyBorder="1" applyAlignment="1">
      <alignment horizontal="center"/>
    </xf>
    <xf numFmtId="0" fontId="9" fillId="2" borderId="4" xfId="0" applyFont="1" applyFill="1" applyBorder="1" applyAlignment="1" applyProtection="1">
      <alignment horizontal="left" vertical="top" indent="5"/>
    </xf>
    <xf numFmtId="0" fontId="33" fillId="2"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9" fillId="0" borderId="10" xfId="0" applyFont="1" applyBorder="1" applyAlignment="1" applyProtection="1">
      <alignment horizontal="left" vertical="center"/>
    </xf>
    <xf numFmtId="0" fontId="0" fillId="0" borderId="1" xfId="0" applyBorder="1" applyProtection="1"/>
    <xf numFmtId="0" fontId="0" fillId="0" borderId="4" xfId="0" applyBorder="1" applyAlignment="1" applyProtection="1">
      <alignment horizontal="left" vertical="center"/>
    </xf>
    <xf numFmtId="0" fontId="9" fillId="0" borderId="15" xfId="0" applyFont="1" applyBorder="1" applyAlignment="1" applyProtection="1">
      <alignment horizontal="left" vertical="center"/>
    </xf>
    <xf numFmtId="14" fontId="2" fillId="2"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41" fillId="5" borderId="16" xfId="0" applyFont="1" applyFill="1" applyBorder="1" applyAlignment="1" applyProtection="1">
      <alignment horizontal="center" vertical="center"/>
    </xf>
    <xf numFmtId="0" fontId="49" fillId="0" borderId="0" xfId="0" applyFont="1" applyBorder="1" applyAlignment="1" applyProtection="1">
      <alignment horizontal="right"/>
    </xf>
    <xf numFmtId="164" fontId="49" fillId="0" borderId="0" xfId="0" applyNumberFormat="1" applyFont="1" applyBorder="1" applyAlignment="1" applyProtection="1">
      <alignment horizontal="right" vertical="center"/>
    </xf>
    <xf numFmtId="168" fontId="49" fillId="0" borderId="0" xfId="0" applyNumberFormat="1" applyFont="1" applyAlignment="1" applyProtection="1">
      <alignment horizontal="right" vertical="center"/>
    </xf>
    <xf numFmtId="0" fontId="49" fillId="2" borderId="0" xfId="0" applyFont="1" applyFill="1" applyBorder="1" applyAlignment="1" applyProtection="1">
      <alignment horizontal="left" vertical="center" indent="6"/>
    </xf>
    <xf numFmtId="0" fontId="14" fillId="0" borderId="0" xfId="0" applyFont="1" applyBorder="1" applyAlignment="1" applyProtection="1">
      <alignment horizontal="left" vertical="center" indent="3"/>
    </xf>
    <xf numFmtId="0" fontId="49" fillId="2" borderId="0" xfId="0" applyFont="1" applyFill="1" applyBorder="1" applyAlignment="1" applyProtection="1">
      <alignment horizontal="left" vertical="center" wrapText="1" indent="3"/>
    </xf>
    <xf numFmtId="0" fontId="49" fillId="2" borderId="0" xfId="0" applyFont="1" applyFill="1" applyBorder="1" applyAlignment="1" applyProtection="1">
      <alignment horizontal="left" vertical="top" wrapText="1"/>
    </xf>
    <xf numFmtId="0" fontId="49" fillId="2" borderId="30" xfId="0" quotePrefix="1" applyFont="1" applyFill="1" applyBorder="1" applyAlignment="1" applyProtection="1">
      <alignment vertical="top" wrapText="1"/>
    </xf>
    <xf numFmtId="0" fontId="49" fillId="2" borderId="0" xfId="0" quotePrefix="1" applyFont="1" applyFill="1" applyBorder="1" applyAlignment="1" applyProtection="1">
      <alignment vertical="top" wrapText="1"/>
    </xf>
    <xf numFmtId="0" fontId="63" fillId="2" borderId="0" xfId="0" applyFont="1" applyFill="1" applyBorder="1" applyAlignment="1" applyProtection="1"/>
    <xf numFmtId="0" fontId="54" fillId="0" borderId="0" xfId="0" applyFont="1" applyBorder="1" applyProtection="1"/>
    <xf numFmtId="0" fontId="54" fillId="0" borderId="0" xfId="0" applyFont="1" applyProtection="1"/>
    <xf numFmtId="0" fontId="0" fillId="2" borderId="0" xfId="0" applyFill="1" applyBorder="1" applyAlignment="1">
      <alignment horizontal="left" vertical="top"/>
    </xf>
    <xf numFmtId="0" fontId="0" fillId="2" borderId="9" xfId="0" applyFill="1" applyBorder="1" applyAlignment="1">
      <alignment horizontal="left" vertical="top"/>
    </xf>
    <xf numFmtId="0" fontId="0" fillId="0" borderId="21" xfId="0" applyBorder="1" applyProtection="1"/>
    <xf numFmtId="0" fontId="0" fillId="0" borderId="9" xfId="0" applyBorder="1" applyAlignment="1" applyProtection="1"/>
    <xf numFmtId="0" fontId="9" fillId="2" borderId="12" xfId="0" applyFont="1" applyFill="1" applyBorder="1" applyAlignment="1" applyProtection="1">
      <alignment horizontal="right" wrapText="1"/>
    </xf>
    <xf numFmtId="165" fontId="49" fillId="2" borderId="0" xfId="0" applyNumberFormat="1" applyFont="1" applyFill="1" applyBorder="1" applyAlignment="1">
      <alignment horizontal="center" vertical="center"/>
    </xf>
    <xf numFmtId="0" fontId="9" fillId="0" borderId="0" xfId="0" applyFont="1" applyBorder="1" applyAlignment="1" applyProtection="1">
      <alignment horizontal="right"/>
    </xf>
    <xf numFmtId="0" fontId="14" fillId="0" borderId="0" xfId="0" applyFont="1" applyBorder="1" applyAlignment="1" applyProtection="1">
      <alignment horizontal="left" indent="2"/>
    </xf>
    <xf numFmtId="0" fontId="14" fillId="2" borderId="0" xfId="0" applyFont="1" applyFill="1" applyBorder="1" applyAlignment="1" applyProtection="1">
      <alignment horizontal="left" indent="2"/>
    </xf>
    <xf numFmtId="0" fontId="14" fillId="2" borderId="0" xfId="0" applyFont="1" applyFill="1" applyBorder="1" applyAlignment="1" applyProtection="1">
      <alignment horizontal="left" vertical="center" indent="2"/>
    </xf>
    <xf numFmtId="0" fontId="14" fillId="0" borderId="0" xfId="0" applyFont="1" applyBorder="1" applyAlignment="1">
      <alignment horizontal="left" vertical="top" wrapText="1" indent="3"/>
    </xf>
    <xf numFmtId="0" fontId="20" fillId="0" borderId="0" xfId="0" applyFont="1" applyBorder="1" applyAlignment="1" applyProtection="1">
      <alignment horizontal="center" vertical="top" wrapText="1"/>
    </xf>
    <xf numFmtId="0" fontId="9" fillId="2" borderId="0" xfId="0" applyFont="1" applyFill="1" applyBorder="1" applyAlignment="1" applyProtection="1">
      <alignment horizontal="right" vertical="center"/>
    </xf>
    <xf numFmtId="0" fontId="49" fillId="0" borderId="0" xfId="0" applyFont="1" applyBorder="1" applyAlignment="1" applyProtection="1">
      <alignment vertical="center" wrapText="1"/>
    </xf>
    <xf numFmtId="168" fontId="14" fillId="2" borderId="0" xfId="2" applyNumberFormat="1" applyFont="1" applyFill="1" applyBorder="1" applyAlignment="1" applyProtection="1">
      <alignment horizontal="center"/>
      <protection locked="0"/>
    </xf>
    <xf numFmtId="0" fontId="54" fillId="0" borderId="0" xfId="0" applyFont="1" applyBorder="1" applyAlignment="1">
      <alignment vertical="top" wrapText="1"/>
    </xf>
    <xf numFmtId="0" fontId="14" fillId="0" borderId="9" xfId="0" applyFont="1" applyBorder="1" applyAlignment="1">
      <alignment vertical="center"/>
    </xf>
    <xf numFmtId="0" fontId="0" fillId="2" borderId="0" xfId="0" applyFill="1" applyBorder="1" applyAlignment="1">
      <alignment horizontal="center"/>
    </xf>
    <xf numFmtId="0" fontId="14" fillId="2" borderId="0" xfId="0" applyFont="1" applyFill="1" applyBorder="1" applyAlignment="1" applyProtection="1">
      <alignment horizontal="left"/>
      <protection locked="0"/>
    </xf>
    <xf numFmtId="0" fontId="14" fillId="2" borderId="0" xfId="0" applyFont="1" applyFill="1" applyBorder="1" applyAlignment="1">
      <alignment horizontal="center" vertical="center"/>
    </xf>
    <xf numFmtId="168" fontId="14" fillId="2" borderId="14" xfId="2" applyNumberFormat="1" applyFont="1" applyFill="1" applyBorder="1" applyAlignment="1" applyProtection="1">
      <protection locked="0"/>
    </xf>
    <xf numFmtId="0" fontId="14" fillId="0" borderId="0" xfId="0" applyFont="1" applyBorder="1" applyAlignment="1" applyProtection="1"/>
    <xf numFmtId="0" fontId="14" fillId="2" borderId="0" xfId="0" applyFont="1" applyFill="1" applyBorder="1" applyAlignment="1" applyProtection="1">
      <alignment horizontal="left"/>
    </xf>
    <xf numFmtId="168" fontId="49" fillId="2" borderId="0" xfId="2" applyNumberFormat="1" applyFont="1" applyFill="1" applyBorder="1" applyAlignment="1" applyProtection="1">
      <alignment horizontal="center" vertical="center"/>
    </xf>
    <xf numFmtId="168" fontId="49"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9" fillId="0" borderId="24" xfId="2" applyNumberFormat="1" applyFont="1" applyBorder="1" applyAlignment="1" applyProtection="1">
      <alignment horizontal="center" vertical="center"/>
    </xf>
    <xf numFmtId="0" fontId="0" fillId="0" borderId="0" xfId="0" applyBorder="1" applyAlignme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4" fillId="4" borderId="0" xfId="0" applyFont="1" applyFill="1" applyBorder="1" applyAlignment="1" applyProtection="1">
      <alignment horizontal="left"/>
    </xf>
    <xf numFmtId="0" fontId="0" fillId="2" borderId="0" xfId="0" applyFill="1" applyBorder="1" applyAlignment="1" applyProtection="1">
      <alignment horizontal="left"/>
    </xf>
    <xf numFmtId="44" fontId="20" fillId="0" borderId="0" xfId="0" applyNumberFormat="1" applyFont="1" applyBorder="1" applyAlignment="1" applyProtection="1">
      <alignment horizontal="center" vertical="top" wrapText="1"/>
    </xf>
    <xf numFmtId="0" fontId="49" fillId="0" borderId="0" xfId="0" applyFont="1" applyBorder="1" applyAlignment="1"/>
    <xf numFmtId="0" fontId="49" fillId="0" borderId="14" xfId="0" applyFont="1" applyBorder="1" applyAlignment="1">
      <alignment horizontal="right"/>
    </xf>
    <xf numFmtId="0" fontId="6" fillId="0" borderId="0" xfId="0" applyFont="1" applyProtection="1"/>
    <xf numFmtId="0" fontId="6" fillId="0" borderId="0" xfId="0" applyFont="1" applyAlignment="1" applyProtection="1">
      <alignment horizontal="right"/>
    </xf>
    <xf numFmtId="0" fontId="49" fillId="2" borderId="0" xfId="0" applyFont="1" applyFill="1" applyBorder="1" applyAlignment="1">
      <alignment vertical="center"/>
    </xf>
    <xf numFmtId="0" fontId="14" fillId="2" borderId="0" xfId="0" applyFont="1" applyFill="1" applyBorder="1" applyAlignment="1" applyProtection="1">
      <alignment horizontal="left" vertical="center" wrapText="1" inden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4" fillId="2" borderId="0" xfId="0" applyFont="1" applyFill="1" applyBorder="1" applyAlignment="1" applyProtection="1">
      <alignment horizontal="left" vertical="center" wrapText="1"/>
    </xf>
    <xf numFmtId="0" fontId="64" fillId="2" borderId="0" xfId="0" applyFont="1" applyFill="1" applyBorder="1" applyAlignment="1" applyProtection="1">
      <alignment horizontal="center" vertical="center"/>
    </xf>
    <xf numFmtId="0" fontId="6" fillId="0" borderId="0" xfId="0" applyFont="1" applyBorder="1" applyAlignment="1" applyProtection="1">
      <alignment vertical="center"/>
    </xf>
    <xf numFmtId="0" fontId="49" fillId="2" borderId="0" xfId="0" applyFont="1" applyFill="1" applyBorder="1" applyAlignment="1" applyProtection="1">
      <alignment horizontal="right" vertical="center" indent="6"/>
    </xf>
    <xf numFmtId="0" fontId="49" fillId="2" borderId="0" xfId="0" applyFont="1" applyFill="1" applyBorder="1" applyAlignment="1" applyProtection="1">
      <alignment horizontal="right" vertical="center" indent="3"/>
    </xf>
    <xf numFmtId="0" fontId="42" fillId="5" borderId="16" xfId="0" applyFont="1" applyFill="1" applyBorder="1" applyAlignment="1" applyProtection="1">
      <alignment horizontal="center" vertical="center"/>
    </xf>
    <xf numFmtId="0" fontId="29" fillId="2" borderId="2" xfId="0" quotePrefix="1" applyFont="1" applyFill="1" applyBorder="1" applyAlignment="1" applyProtection="1">
      <alignment vertical="center" wrapText="1"/>
    </xf>
    <xf numFmtId="0" fontId="29" fillId="2" borderId="3" xfId="0" quotePrefix="1" applyFont="1" applyFill="1" applyBorder="1" applyAlignment="1" applyProtection="1">
      <alignment vertical="center" wrapText="1"/>
    </xf>
    <xf numFmtId="0" fontId="29" fillId="2" borderId="0" xfId="0" quotePrefix="1" applyFont="1" applyFill="1" applyBorder="1" applyAlignment="1" applyProtection="1">
      <alignment vertical="center" wrapText="1"/>
    </xf>
    <xf numFmtId="0" fontId="29" fillId="2" borderId="5" xfId="0" quotePrefix="1" applyFont="1" applyFill="1" applyBorder="1" applyAlignment="1" applyProtection="1">
      <alignment vertical="center" wrapText="1"/>
    </xf>
    <xf numFmtId="0" fontId="29" fillId="2" borderId="10" xfId="0" quotePrefix="1" applyFont="1" applyFill="1" applyBorder="1" applyAlignment="1" applyProtection="1">
      <alignment vertical="center" wrapText="1"/>
    </xf>
    <xf numFmtId="0" fontId="29" fillId="2" borderId="11" xfId="0" quotePrefix="1" applyFont="1" applyFill="1" applyBorder="1" applyAlignment="1" applyProtection="1">
      <alignment vertical="center" wrapText="1"/>
    </xf>
    <xf numFmtId="0" fontId="9" fillId="2" borderId="0" xfId="0" quotePrefix="1" applyFont="1" applyFill="1" applyBorder="1" applyAlignment="1" applyProtection="1">
      <alignment horizontal="left" vertical="center" wrapText="1"/>
    </xf>
    <xf numFmtId="0" fontId="9" fillId="0" borderId="0" xfId="0" applyFont="1" applyBorder="1" applyAlignment="1" applyProtection="1">
      <alignment vertical="center" wrapText="1"/>
    </xf>
    <xf numFmtId="0" fontId="9" fillId="2" borderId="0" xfId="0" quotePrefix="1" applyFont="1" applyFill="1" applyBorder="1" applyAlignment="1" applyProtection="1">
      <alignment vertical="center"/>
    </xf>
    <xf numFmtId="0" fontId="9" fillId="2" borderId="16" xfId="0" quotePrefix="1" applyFont="1" applyFill="1" applyBorder="1" applyAlignment="1" applyProtection="1">
      <alignment horizontal="center" vertical="center" wrapText="1"/>
    </xf>
    <xf numFmtId="0" fontId="29" fillId="0" borderId="2"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15" xfId="0" applyFont="1" applyBorder="1" applyAlignment="1" applyProtection="1">
      <alignment vertical="center" wrapText="1"/>
    </xf>
    <xf numFmtId="0" fontId="29" fillId="0" borderId="10" xfId="0" applyFont="1" applyBorder="1" applyAlignment="1" applyProtection="1">
      <alignment vertical="center" wrapText="1"/>
    </xf>
    <xf numFmtId="168" fontId="51" fillId="0" borderId="10" xfId="0" applyNumberFormat="1" applyFont="1" applyBorder="1" applyAlignment="1" applyProtection="1">
      <alignment vertical="top" wrapText="1"/>
    </xf>
    <xf numFmtId="0" fontId="6" fillId="2" borderId="0" xfId="0" applyFont="1" applyFill="1" applyBorder="1" applyAlignment="1" applyProtection="1">
      <alignment horizontal="left" vertical="center" indent="3"/>
    </xf>
    <xf numFmtId="0" fontId="49" fillId="2" borderId="0" xfId="0" applyFont="1" applyFill="1" applyBorder="1" applyAlignment="1" applyProtection="1">
      <alignment horizontal="left" vertic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14" fillId="2" borderId="0" xfId="0" applyFont="1" applyFill="1" applyBorder="1" applyAlignment="1" applyProtection="1">
      <alignment horizontal="left"/>
    </xf>
    <xf numFmtId="0" fontId="14" fillId="0" borderId="0" xfId="0" applyFont="1" applyBorder="1" applyAlignment="1">
      <alignment horizontal="left" vertical="center" wrapText="1" indent="2"/>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9" fillId="2" borderId="0" xfId="0" applyFont="1" applyFill="1" applyBorder="1" applyAlignment="1" applyProtection="1">
      <alignment horizontal="right" vertical="center"/>
    </xf>
    <xf numFmtId="0" fontId="0" fillId="4" borderId="1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67" fillId="0" borderId="0" xfId="0" applyFont="1" applyBorder="1" applyAlignment="1">
      <alignment horizontal="right" vertical="center"/>
    </xf>
    <xf numFmtId="0" fontId="20" fillId="0" borderId="0" xfId="0" applyFont="1" applyBorder="1" applyAlignment="1" applyProtection="1">
      <alignment vertical="center"/>
    </xf>
    <xf numFmtId="0" fontId="0" fillId="2" borderId="0" xfId="0" applyFont="1" applyFill="1" applyBorder="1" applyAlignment="1">
      <alignment horizontal="center"/>
    </xf>
    <xf numFmtId="0" fontId="0" fillId="0" borderId="0" xfId="0" applyFont="1" applyBorder="1" applyAlignment="1">
      <alignment horizontal="center"/>
    </xf>
    <xf numFmtId="168" fontId="14" fillId="2" borderId="0" xfId="2" applyNumberFormat="1" applyFont="1" applyFill="1" applyBorder="1" applyAlignment="1" applyProtection="1">
      <alignment horizontal="center" vertical="center"/>
    </xf>
    <xf numFmtId="0" fontId="51" fillId="2" borderId="0" xfId="0" applyFont="1" applyFill="1" applyBorder="1" applyAlignment="1" applyProtection="1">
      <alignment vertical="top"/>
    </xf>
    <xf numFmtId="0" fontId="51" fillId="2" borderId="0" xfId="0" applyFont="1" applyFill="1" applyBorder="1" applyAlignment="1" applyProtection="1">
      <alignment horizontal="center" vertical="top"/>
    </xf>
    <xf numFmtId="0" fontId="0" fillId="4" borderId="0" xfId="0" applyFill="1" applyBorder="1" applyAlignment="1" applyProtection="1">
      <alignment horizontal="left"/>
    </xf>
    <xf numFmtId="0" fontId="14" fillId="4" borderId="0" xfId="0" applyFont="1" applyFill="1" applyBorder="1" applyAlignment="1" applyProtection="1">
      <alignment horizontal="left"/>
      <protection locked="0"/>
    </xf>
    <xf numFmtId="0" fontId="14" fillId="2" borderId="0" xfId="0" applyFont="1" applyFill="1" applyBorder="1" applyAlignment="1" applyProtection="1"/>
    <xf numFmtId="0" fontId="0" fillId="2" borderId="0" xfId="0" applyFill="1" applyBorder="1" applyAlignment="1">
      <alignment horizontal="left"/>
    </xf>
    <xf numFmtId="0" fontId="14" fillId="2" borderId="0" xfId="0" applyFont="1" applyFill="1" applyBorder="1" applyAlignment="1">
      <alignment horizontal="center"/>
    </xf>
    <xf numFmtId="0" fontId="49" fillId="2" borderId="0" xfId="0" applyFont="1" applyFill="1" applyBorder="1" applyAlignment="1">
      <alignment horizontal="right" vertical="center"/>
    </xf>
    <xf numFmtId="168" fontId="14" fillId="2" borderId="0" xfId="2" applyNumberFormat="1" applyFont="1" applyFill="1" applyBorder="1" applyAlignment="1">
      <alignment horizontal="center" vertical="center"/>
    </xf>
    <xf numFmtId="0" fontId="49" fillId="2" borderId="0" xfId="0" applyFont="1" applyFill="1" applyBorder="1" applyAlignment="1" applyProtection="1">
      <alignment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49" fillId="2" borderId="14" xfId="0" applyFont="1" applyFill="1" applyBorder="1" applyAlignment="1" applyProtection="1">
      <alignment horizontal="left" vertical="center" wrapText="1" indent="1"/>
    </xf>
    <xf numFmtId="0" fontId="52" fillId="2" borderId="13" xfId="0" applyFont="1" applyFill="1" applyBorder="1" applyAlignment="1" applyProtection="1">
      <alignment horizontal="center" vertical="center"/>
    </xf>
    <xf numFmtId="0" fontId="0" fillId="0" borderId="14" xfId="0" applyBorder="1"/>
    <xf numFmtId="0" fontId="0" fillId="0" borderId="24" xfId="0" applyBorder="1"/>
    <xf numFmtId="0" fontId="0" fillId="0" borderId="2" xfId="0" quotePrefix="1" applyBorder="1" applyAlignment="1" applyProtection="1"/>
    <xf numFmtId="0" fontId="14" fillId="4" borderId="16" xfId="0" applyFont="1" applyFill="1" applyBorder="1" applyAlignment="1" applyProtection="1">
      <alignment horizontal="center" vertical="center"/>
      <protection locked="0"/>
    </xf>
    <xf numFmtId="168" fontId="14" fillId="4" borderId="16" xfId="2" applyNumberFormat="1" applyFont="1" applyFill="1" applyBorder="1" applyAlignment="1" applyProtection="1">
      <alignment horizontal="center" vertical="center"/>
      <protection locked="0"/>
    </xf>
    <xf numFmtId="0" fontId="9" fillId="0" borderId="0" xfId="0" applyFont="1" applyBorder="1" applyAlignment="1" applyProtection="1">
      <alignment horizontal="right"/>
    </xf>
    <xf numFmtId="0" fontId="21" fillId="0" borderId="4"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49" fillId="0" borderId="0" xfId="0" applyFont="1" applyAlignment="1" applyProtection="1">
      <alignment horizontal="right" vertical="center"/>
    </xf>
    <xf numFmtId="168" fontId="14" fillId="3" borderId="16" xfId="2" applyNumberFormat="1" applyFont="1" applyFill="1" applyBorder="1" applyAlignment="1" applyProtection="1">
      <alignment horizontal="center" vertical="center"/>
    </xf>
    <xf numFmtId="168" fontId="53" fillId="3" borderId="16" xfId="2" applyNumberFormat="1" applyFont="1" applyFill="1" applyBorder="1" applyAlignment="1" applyProtection="1">
      <alignment horizontal="center" vertical="center"/>
    </xf>
    <xf numFmtId="168" fontId="2" fillId="2" borderId="0" xfId="2" applyNumberFormat="1" applyFont="1" applyFill="1" applyBorder="1" applyAlignment="1" applyProtection="1">
      <alignment vertical="center"/>
    </xf>
    <xf numFmtId="1" fontId="2" fillId="2" borderId="0" xfId="2" applyNumberFormat="1" applyFont="1" applyFill="1" applyBorder="1" applyAlignment="1" applyProtection="1">
      <alignment vertical="center"/>
    </xf>
    <xf numFmtId="0" fontId="2" fillId="2" borderId="0" xfId="0" applyFont="1" applyFill="1" applyBorder="1" applyAlignment="1" applyProtection="1">
      <alignment vertical="center"/>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wrapText="1"/>
    </xf>
    <xf numFmtId="0" fontId="57" fillId="0" borderId="0" xfId="0" applyFont="1" applyProtection="1"/>
    <xf numFmtId="0" fontId="49" fillId="0" borderId="0" xfId="0" applyFont="1" applyProtection="1"/>
    <xf numFmtId="4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wrapText="1"/>
    </xf>
    <xf numFmtId="169" fontId="49" fillId="6" borderId="16" xfId="1" applyNumberFormat="1" applyFont="1" applyFill="1" applyBorder="1" applyAlignment="1" applyProtection="1">
      <alignment horizontal="center" vertical="center" wrapText="1"/>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52" fillId="7" borderId="6" xfId="0" applyFont="1" applyFill="1" applyBorder="1" applyAlignment="1" applyProtection="1">
      <alignment horizontal="center" vertical="center" wrapText="1"/>
    </xf>
    <xf numFmtId="0" fontId="52" fillId="7" borderId="8" xfId="0" applyFont="1" applyFill="1" applyBorder="1" applyAlignment="1" applyProtection="1">
      <alignment horizontal="center" vertical="center" wrapText="1"/>
    </xf>
    <xf numFmtId="0" fontId="52" fillId="7" borderId="7" xfId="0" applyFont="1" applyFill="1" applyBorder="1" applyAlignment="1" applyProtection="1">
      <alignment horizontal="center" vertical="center" wrapText="1"/>
    </xf>
    <xf numFmtId="0" fontId="41" fillId="7" borderId="6" xfId="0" applyFont="1" applyFill="1" applyBorder="1" applyAlignment="1" applyProtection="1">
      <alignment horizontal="center" vertical="center" wrapText="1"/>
    </xf>
    <xf numFmtId="0" fontId="41" fillId="7" borderId="8" xfId="0" applyFont="1" applyFill="1" applyBorder="1" applyAlignment="1" applyProtection="1">
      <alignment horizontal="center" vertical="center" wrapText="1"/>
    </xf>
    <xf numFmtId="0" fontId="41" fillId="7" borderId="7" xfId="0" applyFont="1" applyFill="1" applyBorder="1" applyAlignment="1" applyProtection="1">
      <alignment horizontal="center" vertical="center" wrapText="1"/>
    </xf>
    <xf numFmtId="14" fontId="14" fillId="4" borderId="6" xfId="0" applyNumberFormat="1" applyFont="1" applyFill="1" applyBorder="1" applyAlignment="1" applyProtection="1">
      <alignment horizontal="center" vertical="center"/>
      <protection locked="0"/>
    </xf>
    <xf numFmtId="14" fontId="14" fillId="4" borderId="8" xfId="0" applyNumberFormat="1" applyFont="1" applyFill="1" applyBorder="1" applyAlignment="1" applyProtection="1">
      <alignment horizontal="center" vertical="center"/>
      <protection locked="0"/>
    </xf>
    <xf numFmtId="14" fontId="14" fillId="4" borderId="7" xfId="0" applyNumberFormat="1" applyFont="1" applyFill="1" applyBorder="1" applyAlignment="1" applyProtection="1">
      <alignment horizontal="center" vertical="center"/>
      <protection locked="0"/>
    </xf>
    <xf numFmtId="168" fontId="14" fillId="6" borderId="6" xfId="0" applyNumberFormat="1" applyFont="1" applyFill="1" applyBorder="1" applyAlignment="1" applyProtection="1">
      <alignment horizontal="center"/>
    </xf>
    <xf numFmtId="0" fontId="14" fillId="6" borderId="8" xfId="0" applyFont="1" applyFill="1" applyBorder="1" applyAlignment="1" applyProtection="1">
      <alignment horizontal="center"/>
    </xf>
    <xf numFmtId="0" fontId="14" fillId="6" borderId="7" xfId="0" applyFont="1" applyFill="1" applyBorder="1" applyAlignment="1" applyProtection="1">
      <alignment horizontal="center"/>
    </xf>
    <xf numFmtId="0" fontId="14" fillId="11" borderId="16" xfId="0" applyFont="1" applyFill="1" applyBorder="1" applyAlignment="1">
      <alignment horizontal="center" vertic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24" xfId="0" applyFont="1" applyBorder="1" applyAlignment="1">
      <alignment horizont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0" fillId="4" borderId="16" xfId="0" applyFill="1" applyBorder="1" applyAlignment="1" applyProtection="1">
      <alignment horizontal="center"/>
      <protection locked="0"/>
    </xf>
    <xf numFmtId="168" fontId="14" fillId="6" borderId="16" xfId="2" applyNumberFormat="1" applyFont="1" applyFill="1" applyBorder="1" applyAlignment="1" applyProtection="1">
      <alignment horizontal="center" vertical="center"/>
    </xf>
    <xf numFmtId="168" fontId="49" fillId="6" borderId="16" xfId="2" applyNumberFormat="1" applyFont="1" applyFill="1" applyBorder="1" applyAlignment="1" applyProtection="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68" fontId="14" fillId="6" borderId="6" xfId="2" applyNumberFormat="1" applyFont="1" applyFill="1" applyBorder="1" applyAlignment="1">
      <alignment horizontal="center" vertical="center"/>
    </xf>
    <xf numFmtId="168" fontId="14" fillId="6" borderId="8" xfId="2" applyNumberFormat="1" applyFont="1" applyFill="1" applyBorder="1" applyAlignment="1">
      <alignment horizontal="center" vertical="center"/>
    </xf>
    <xf numFmtId="168" fontId="14" fillId="6" borderId="7" xfId="2" applyNumberFormat="1" applyFont="1" applyFill="1" applyBorder="1" applyAlignment="1">
      <alignment horizontal="center" vertical="center"/>
    </xf>
    <xf numFmtId="168" fontId="49" fillId="6" borderId="16" xfId="2" applyNumberFormat="1" applyFont="1" applyFill="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left" vertical="center"/>
    </xf>
    <xf numFmtId="0" fontId="49" fillId="0" borderId="14" xfId="0" applyFont="1" applyBorder="1" applyAlignment="1">
      <alignment horizontal="left" vertical="center"/>
    </xf>
    <xf numFmtId="0" fontId="49" fillId="2" borderId="0" xfId="0" applyFont="1" applyFill="1" applyBorder="1" applyAlignment="1" applyProtection="1">
      <alignment horizontal="left" wrapText="1"/>
    </xf>
    <xf numFmtId="0" fontId="20" fillId="0" borderId="23" xfId="0" applyFont="1" applyBorder="1" applyAlignment="1">
      <alignment horizontal="center"/>
    </xf>
    <xf numFmtId="0" fontId="20" fillId="0" borderId="12" xfId="0" applyFont="1" applyBorder="1" applyAlignment="1">
      <alignment horizontal="center"/>
    </xf>
    <xf numFmtId="10" fontId="6" fillId="6" borderId="6" xfId="1" applyNumberFormat="1" applyFont="1" applyFill="1" applyBorder="1" applyAlignment="1">
      <alignment horizontal="center" vertical="center" wrapText="1"/>
    </xf>
    <xf numFmtId="10" fontId="6" fillId="6" borderId="7" xfId="1" applyNumberFormat="1" applyFont="1" applyFill="1" applyBorder="1" applyAlignment="1">
      <alignment horizontal="center" vertical="center" wrapText="1"/>
    </xf>
    <xf numFmtId="168" fontId="14" fillId="4" borderId="6" xfId="2" applyNumberFormat="1" applyFont="1" applyFill="1" applyBorder="1" applyAlignment="1" applyProtection="1">
      <alignment horizontal="center" vertical="center"/>
      <protection locked="0"/>
    </xf>
    <xf numFmtId="168" fontId="14" fillId="4" borderId="8" xfId="2" applyNumberFormat="1" applyFont="1" applyFill="1" applyBorder="1" applyAlignment="1" applyProtection="1">
      <alignment horizontal="center" vertical="center"/>
      <protection locked="0"/>
    </xf>
    <xf numFmtId="168" fontId="14" fillId="4" borderId="7" xfId="2" applyNumberFormat="1" applyFont="1" applyFill="1" applyBorder="1" applyAlignment="1" applyProtection="1">
      <alignment horizontal="center" vertical="center"/>
      <protection locked="0"/>
    </xf>
    <xf numFmtId="0" fontId="42" fillId="8" borderId="6" xfId="0" applyFont="1" applyFill="1" applyBorder="1" applyAlignment="1" applyProtection="1">
      <alignment horizontal="center" vertical="center"/>
    </xf>
    <xf numFmtId="0" fontId="42" fillId="8" borderId="8" xfId="0" applyFont="1" applyFill="1" applyBorder="1" applyAlignment="1" applyProtection="1">
      <alignment horizontal="center" vertical="center"/>
    </xf>
    <xf numFmtId="0" fontId="42" fillId="8" borderId="7" xfId="0" applyFont="1" applyFill="1" applyBorder="1" applyAlignment="1" applyProtection="1">
      <alignment horizontal="center" vertical="center"/>
    </xf>
    <xf numFmtId="0" fontId="52" fillId="5" borderId="6" xfId="0" applyFont="1" applyFill="1" applyBorder="1" applyAlignment="1">
      <alignment horizontal="center"/>
    </xf>
    <xf numFmtId="0" fontId="52" fillId="5" borderId="8" xfId="0" applyFont="1" applyFill="1" applyBorder="1" applyAlignment="1">
      <alignment horizontal="center"/>
    </xf>
    <xf numFmtId="0" fontId="52" fillId="5" borderId="7" xfId="0" applyFont="1" applyFill="1" applyBorder="1" applyAlignment="1">
      <alignment horizontal="center"/>
    </xf>
    <xf numFmtId="0" fontId="9" fillId="0" borderId="0" xfId="0" applyFont="1" applyBorder="1" applyAlignment="1" applyProtection="1">
      <alignment horizontal="right"/>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168" fontId="14" fillId="4" borderId="16" xfId="2" applyNumberFormat="1" applyFont="1" applyFill="1" applyBorder="1" applyAlignment="1" applyProtection="1">
      <alignment horizontal="right"/>
      <protection locked="0"/>
    </xf>
    <xf numFmtId="168" fontId="9" fillId="0" borderId="9" xfId="2" applyNumberFormat="1" applyFont="1" applyBorder="1" applyAlignment="1" applyProtection="1">
      <alignment horizontal="center"/>
    </xf>
    <xf numFmtId="0" fontId="54" fillId="0" borderId="13" xfId="0" applyFont="1" applyBorder="1" applyAlignment="1">
      <alignment horizontal="left" vertical="top" wrapText="1" indent="1"/>
    </xf>
    <xf numFmtId="0" fontId="54" fillId="0" borderId="14" xfId="0" applyFont="1" applyBorder="1" applyAlignment="1">
      <alignment horizontal="left" vertical="top" wrapText="1" indent="1"/>
    </xf>
    <xf numFmtId="0" fontId="54" fillId="0" borderId="23" xfId="0" applyFont="1" applyBorder="1" applyAlignment="1">
      <alignment horizontal="left" vertical="top" wrapText="1" indent="1"/>
    </xf>
    <xf numFmtId="0" fontId="54" fillId="0" borderId="24" xfId="0" applyFont="1" applyBorder="1" applyAlignment="1">
      <alignment horizontal="left" vertical="top" wrapText="1" indent="1"/>
    </xf>
    <xf numFmtId="0" fontId="61" fillId="0" borderId="21" xfId="0" applyFont="1" applyBorder="1" applyAlignment="1">
      <alignment horizontal="left" indent="1"/>
    </xf>
    <xf numFmtId="0" fontId="61" fillId="0" borderId="22" xfId="0" applyFont="1" applyBorder="1" applyAlignment="1">
      <alignment horizontal="left" indent="1"/>
    </xf>
    <xf numFmtId="0" fontId="54" fillId="0" borderId="13" xfId="0" applyFont="1" applyBorder="1" applyAlignment="1" applyProtection="1">
      <alignment horizontal="left" vertical="top" wrapText="1" indent="1"/>
    </xf>
    <xf numFmtId="0" fontId="54" fillId="0" borderId="14" xfId="0" applyFont="1" applyBorder="1" applyAlignment="1" applyProtection="1">
      <alignment horizontal="left" vertical="top" wrapText="1" indent="1"/>
    </xf>
    <xf numFmtId="0" fontId="54" fillId="0" borderId="23" xfId="0" applyFont="1" applyBorder="1" applyAlignment="1" applyProtection="1">
      <alignment horizontal="left" vertical="top" wrapText="1" indent="1"/>
    </xf>
    <xf numFmtId="0" fontId="54" fillId="0" borderId="24" xfId="0" applyFont="1" applyBorder="1" applyAlignment="1" applyProtection="1">
      <alignment horizontal="left" vertical="top" wrapText="1" indent="1"/>
    </xf>
    <xf numFmtId="0" fontId="49" fillId="2" borderId="0" xfId="0" applyFont="1" applyFill="1" applyBorder="1" applyAlignment="1" applyProtection="1">
      <alignment horizontal="left" vertical="center" wrapText="1"/>
    </xf>
    <xf numFmtId="0" fontId="49" fillId="2" borderId="14" xfId="0" applyFont="1" applyFill="1" applyBorder="1" applyAlignment="1" applyProtection="1">
      <alignment horizontal="left" vertical="center" wrapText="1"/>
    </xf>
    <xf numFmtId="0" fontId="41" fillId="8" borderId="13" xfId="0" applyFont="1" applyFill="1" applyBorder="1" applyAlignment="1" applyProtection="1">
      <alignment horizontal="center" vertical="center"/>
    </xf>
    <xf numFmtId="0" fontId="41" fillId="8" borderId="14" xfId="0" applyFont="1" applyFill="1" applyBorder="1" applyAlignment="1" applyProtection="1">
      <alignment horizontal="center" vertical="center"/>
    </xf>
    <xf numFmtId="0" fontId="41" fillId="8" borderId="23" xfId="0" applyFont="1" applyFill="1" applyBorder="1" applyAlignment="1" applyProtection="1">
      <alignment horizontal="center" vertical="center"/>
    </xf>
    <xf numFmtId="0" fontId="41" fillId="8" borderId="24" xfId="0" applyFont="1" applyFill="1" applyBorder="1" applyAlignment="1" applyProtection="1">
      <alignment horizontal="center" vertical="center"/>
    </xf>
    <xf numFmtId="168" fontId="14" fillId="4" borderId="16" xfId="2" applyNumberFormat="1" applyFont="1" applyFill="1" applyBorder="1" applyAlignment="1" applyProtection="1">
      <alignment horizontal="center" vertical="center"/>
      <protection locked="0"/>
    </xf>
    <xf numFmtId="9" fontId="14" fillId="0" borderId="32" xfId="0" applyNumberFormat="1" applyFont="1" applyBorder="1" applyAlignment="1">
      <alignment horizontal="center" vertical="center"/>
    </xf>
    <xf numFmtId="9" fontId="14" fillId="0" borderId="30" xfId="0" applyNumberFormat="1" applyFont="1" applyBorder="1" applyAlignment="1">
      <alignment horizontal="center" vertical="center"/>
    </xf>
    <xf numFmtId="9" fontId="14" fillId="0" borderId="26" xfId="0" applyNumberFormat="1" applyFont="1" applyBorder="1" applyAlignment="1">
      <alignment horizontal="center" vertical="center"/>
    </xf>
    <xf numFmtId="9" fontId="14" fillId="0" borderId="16" xfId="0" applyNumberFormat="1" applyFont="1" applyBorder="1" applyAlignment="1">
      <alignment horizontal="center" vertical="center"/>
    </xf>
    <xf numFmtId="49" fontId="14" fillId="11" borderId="30" xfId="0" applyNumberFormat="1" applyFont="1" applyFill="1" applyBorder="1" applyAlignment="1">
      <alignment horizontal="center" vertical="center"/>
    </xf>
    <xf numFmtId="49" fontId="14" fillId="11" borderId="26" xfId="0" applyNumberFormat="1" applyFont="1" applyFill="1" applyBorder="1" applyAlignment="1">
      <alignment horizontal="center" vertical="center"/>
    </xf>
    <xf numFmtId="0" fontId="14" fillId="11" borderId="30" xfId="0" applyFont="1" applyFill="1" applyBorder="1" applyAlignment="1">
      <alignment horizontal="center" vertical="center"/>
    </xf>
    <xf numFmtId="0" fontId="14" fillId="11" borderId="26" xfId="0" applyFont="1" applyFill="1" applyBorder="1" applyAlignment="1">
      <alignment horizontal="center" vertical="center"/>
    </xf>
    <xf numFmtId="0" fontId="20" fillId="0" borderId="14"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10" xfId="0" applyBorder="1" applyAlignment="1" applyProtection="1">
      <alignment horizontal="center"/>
      <protection locked="0"/>
    </xf>
    <xf numFmtId="0" fontId="9" fillId="2" borderId="0" xfId="0" applyFont="1" applyFill="1" applyBorder="1" applyAlignment="1" applyProtection="1">
      <alignment horizontal="right" wrapText="1"/>
    </xf>
    <xf numFmtId="168" fontId="14" fillId="6" borderId="16" xfId="0" applyNumberFormat="1" applyFont="1" applyFill="1" applyBorder="1" applyAlignment="1">
      <alignment horizontal="center" vertical="center"/>
    </xf>
    <xf numFmtId="0" fontId="14" fillId="6" borderId="16" xfId="0" applyFont="1" applyFill="1" applyBorder="1" applyAlignment="1">
      <alignment horizontal="center" vertical="center"/>
    </xf>
    <xf numFmtId="0" fontId="14" fillId="0" borderId="0" xfId="0" applyFont="1" applyBorder="1" applyAlignment="1">
      <alignment horizontal="left" vertical="center" wrapText="1" indent="2"/>
    </xf>
    <xf numFmtId="0" fontId="14" fillId="0" borderId="14" xfId="0" applyFont="1" applyBorder="1" applyAlignment="1">
      <alignment horizontal="left" vertical="center" wrapText="1" indent="2"/>
    </xf>
    <xf numFmtId="168" fontId="14" fillId="6" borderId="6" xfId="2" applyNumberFormat="1" applyFont="1" applyFill="1" applyBorder="1" applyAlignment="1" applyProtection="1">
      <alignment horizontal="center" vertical="center"/>
      <protection locked="0"/>
    </xf>
    <xf numFmtId="168" fontId="14" fillId="6" borderId="8" xfId="2" applyNumberFormat="1" applyFont="1" applyFill="1" applyBorder="1" applyAlignment="1" applyProtection="1">
      <alignment horizontal="center" vertical="center"/>
      <protection locked="0"/>
    </xf>
    <xf numFmtId="168" fontId="14" fillId="6" borderId="7" xfId="2" applyNumberFormat="1" applyFont="1" applyFill="1" applyBorder="1" applyAlignment="1" applyProtection="1">
      <alignment horizontal="center" vertical="center"/>
      <protection locked="0"/>
    </xf>
    <xf numFmtId="168" fontId="49" fillId="6" borderId="16" xfId="0" applyNumberFormat="1" applyFont="1" applyFill="1" applyBorder="1" applyAlignment="1">
      <alignment horizontal="center" vertical="center" wrapText="1"/>
    </xf>
    <xf numFmtId="0" fontId="49" fillId="6" borderId="16" xfId="0" applyFont="1" applyFill="1" applyBorder="1" applyAlignment="1">
      <alignment horizontal="center" vertical="center" wrapText="1"/>
    </xf>
    <xf numFmtId="168" fontId="49" fillId="6" borderId="6" xfId="2" applyNumberFormat="1" applyFont="1" applyFill="1" applyBorder="1" applyAlignment="1" applyProtection="1">
      <alignment horizontal="center" vertical="center" wrapText="1"/>
      <protection locked="0"/>
    </xf>
    <xf numFmtId="168" fontId="49" fillId="6" borderId="8" xfId="2" applyNumberFormat="1" applyFont="1" applyFill="1" applyBorder="1" applyAlignment="1" applyProtection="1">
      <alignment horizontal="center" vertical="center" wrapText="1"/>
      <protection locked="0"/>
    </xf>
    <xf numFmtId="168" fontId="49" fillId="6" borderId="7" xfId="2" applyNumberFormat="1" applyFont="1" applyFill="1" applyBorder="1" applyAlignment="1" applyProtection="1">
      <alignment horizontal="center" vertical="center" wrapText="1"/>
      <protection locked="0"/>
    </xf>
    <xf numFmtId="165" fontId="26" fillId="0" borderId="28" xfId="0" applyNumberFormat="1" applyFont="1" applyFill="1" applyBorder="1" applyAlignment="1" applyProtection="1">
      <alignment horizontal="center" vertical="center"/>
    </xf>
    <xf numFmtId="165" fontId="26" fillId="0" borderId="29" xfId="0" applyNumberFormat="1" applyFont="1" applyFill="1" applyBorder="1" applyAlignment="1" applyProtection="1">
      <alignment horizontal="center" vertical="center"/>
    </xf>
    <xf numFmtId="0" fontId="36" fillId="0" borderId="0" xfId="0" applyFont="1" applyBorder="1" applyAlignment="1" applyProtection="1">
      <alignment horizontal="center" vertical="top"/>
    </xf>
    <xf numFmtId="0" fontId="10" fillId="5" borderId="20" xfId="0" applyFont="1" applyFill="1" applyBorder="1" applyAlignment="1" applyProtection="1">
      <alignment horizontal="center" vertical="center"/>
    </xf>
    <xf numFmtId="0" fontId="10" fillId="5" borderId="19"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168" fontId="14" fillId="4" borderId="8" xfId="2" applyNumberFormat="1" applyFont="1" applyFill="1" applyBorder="1" applyAlignment="1" applyProtection="1">
      <alignment horizontal="center"/>
      <protection locked="0"/>
    </xf>
    <xf numFmtId="0" fontId="10" fillId="10" borderId="16"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47" fillId="0" borderId="0" xfId="0" applyFont="1" applyAlignment="1" applyProtection="1">
      <alignment horizontal="center" vertical="top" wrapText="1"/>
      <protection locked="0"/>
    </xf>
    <xf numFmtId="0" fontId="49" fillId="2" borderId="13" xfId="0" applyFont="1" applyFill="1" applyBorder="1" applyAlignment="1" applyProtection="1">
      <alignment horizontal="center" wrapText="1"/>
    </xf>
    <xf numFmtId="0" fontId="49" fillId="2" borderId="0" xfId="0" applyFont="1" applyFill="1" applyBorder="1" applyAlignment="1" applyProtection="1">
      <alignment horizontal="center" wrapText="1"/>
    </xf>
    <xf numFmtId="0" fontId="49" fillId="2" borderId="14" xfId="0" applyFont="1" applyFill="1" applyBorder="1" applyAlignment="1" applyProtection="1">
      <alignment horizontal="center" wrapText="1"/>
    </xf>
    <xf numFmtId="0" fontId="57" fillId="4" borderId="21" xfId="0" applyFont="1" applyFill="1" applyBorder="1" applyAlignment="1" applyProtection="1">
      <alignment horizontal="left" vertical="top" wrapText="1"/>
      <protection locked="0"/>
    </xf>
    <xf numFmtId="0" fontId="57" fillId="4" borderId="9" xfId="0" applyFont="1" applyFill="1" applyBorder="1" applyAlignment="1" applyProtection="1">
      <alignment horizontal="left" vertical="top" wrapText="1"/>
      <protection locked="0"/>
    </xf>
    <xf numFmtId="0" fontId="57" fillId="4" borderId="22" xfId="0" applyFont="1" applyFill="1" applyBorder="1" applyAlignment="1" applyProtection="1">
      <alignment horizontal="left" vertical="top" wrapText="1"/>
      <protection locked="0"/>
    </xf>
    <xf numFmtId="0" fontId="57" fillId="4" borderId="23" xfId="0" applyFont="1" applyFill="1" applyBorder="1" applyAlignment="1" applyProtection="1">
      <alignment horizontal="left" vertical="top" wrapText="1"/>
      <protection locked="0"/>
    </xf>
    <xf numFmtId="0" fontId="57" fillId="4" borderId="12" xfId="0" applyFont="1" applyFill="1" applyBorder="1" applyAlignment="1" applyProtection="1">
      <alignment horizontal="left" vertical="top" wrapText="1"/>
      <protection locked="0"/>
    </xf>
    <xf numFmtId="0" fontId="57" fillId="4" borderId="24"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xf>
    <xf numFmtId="0" fontId="33" fillId="5" borderId="20" xfId="0" applyFont="1" applyFill="1" applyBorder="1" applyAlignment="1" applyProtection="1">
      <alignment horizontal="center" vertical="center"/>
    </xf>
    <xf numFmtId="0" fontId="33" fillId="5" borderId="19"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14" fillId="4" borderId="6"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168" fontId="9" fillId="0" borderId="0" xfId="2" applyNumberFormat="1" applyFont="1" applyBorder="1" applyAlignment="1" applyProtection="1">
      <alignment horizontal="right"/>
    </xf>
    <xf numFmtId="164" fontId="46" fillId="0" borderId="0" xfId="0" applyNumberFormat="1" applyFont="1" applyBorder="1" applyAlignment="1" applyProtection="1">
      <alignment horizontal="center" vertical="top"/>
    </xf>
    <xf numFmtId="168" fontId="13" fillId="6" borderId="6" xfId="2" applyNumberFormat="1" applyFont="1" applyFill="1" applyBorder="1" applyAlignment="1" applyProtection="1">
      <alignment horizontal="center" vertical="center"/>
    </xf>
    <xf numFmtId="168" fontId="13" fillId="6" borderId="8" xfId="2" applyNumberFormat="1" applyFont="1" applyFill="1" applyBorder="1" applyAlignment="1" applyProtection="1">
      <alignment horizontal="center" vertical="center"/>
    </xf>
    <xf numFmtId="168" fontId="13" fillId="6" borderId="7" xfId="2"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top" wrapText="1"/>
    </xf>
    <xf numFmtId="0" fontId="20" fillId="0" borderId="0" xfId="0" applyFont="1" applyBorder="1" applyAlignment="1" applyProtection="1">
      <alignment horizontal="center" vertical="top" wrapText="1"/>
    </xf>
    <xf numFmtId="0" fontId="41" fillId="8" borderId="30" xfId="0" applyFont="1" applyFill="1" applyBorder="1" applyAlignment="1" applyProtection="1">
      <alignment horizontal="center" vertical="center"/>
    </xf>
    <xf numFmtId="0" fontId="41" fillId="8" borderId="26" xfId="0" applyFont="1" applyFill="1" applyBorder="1" applyAlignment="1" applyProtection="1">
      <alignment horizontal="center" vertical="center"/>
    </xf>
    <xf numFmtId="0" fontId="41" fillId="8" borderId="16" xfId="0" applyFont="1" applyFill="1" applyBorder="1" applyAlignment="1" applyProtection="1">
      <alignment horizontal="center" vertical="center"/>
    </xf>
    <xf numFmtId="168" fontId="9" fillId="0" borderId="0" xfId="0" applyNumberFormat="1" applyFont="1" applyBorder="1" applyAlignment="1" applyProtection="1">
      <alignment horizontal="center"/>
    </xf>
    <xf numFmtId="0" fontId="18"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9" fillId="0" borderId="0" xfId="0" applyFont="1" applyBorder="1" applyAlignment="1" applyProtection="1">
      <alignment horizontal="center" wrapText="1"/>
    </xf>
    <xf numFmtId="0" fontId="43" fillId="2" borderId="0" xfId="0" applyFont="1" applyFill="1" applyBorder="1" applyAlignment="1" applyProtection="1">
      <alignment horizontal="center" vertical="center" wrapText="1"/>
    </xf>
    <xf numFmtId="0" fontId="37" fillId="0" borderId="10" xfId="0" applyFont="1" applyBorder="1" applyAlignment="1" applyProtection="1">
      <alignment horizontal="center" vertical="top" wrapText="1"/>
    </xf>
    <xf numFmtId="0" fontId="0" fillId="0" borderId="0" xfId="0" applyBorder="1" applyAlignment="1" applyProtection="1">
      <alignment horizontal="center" wrapText="1"/>
    </xf>
    <xf numFmtId="0" fontId="41" fillId="8" borderId="0" xfId="0" applyFont="1" applyFill="1" applyBorder="1" applyAlignment="1" applyProtection="1">
      <alignment horizontal="center" vertical="center"/>
    </xf>
    <xf numFmtId="0" fontId="41" fillId="8" borderId="12" xfId="0" applyFont="1" applyFill="1" applyBorder="1" applyAlignment="1" applyProtection="1">
      <alignment horizontal="center" vertical="center"/>
    </xf>
    <xf numFmtId="0" fontId="49" fillId="0" borderId="4" xfId="0" applyFont="1" applyBorder="1" applyAlignment="1" applyProtection="1">
      <alignment horizontal="left" vertical="center" wrapText="1" indent="3"/>
    </xf>
    <xf numFmtId="0" fontId="49" fillId="0" borderId="14" xfId="0" applyFont="1" applyBorder="1" applyAlignment="1" applyProtection="1">
      <alignment horizontal="left" vertical="center" wrapText="1" indent="3"/>
    </xf>
    <xf numFmtId="0" fontId="53" fillId="0" borderId="0" xfId="0" applyFont="1" applyBorder="1" applyAlignment="1" applyProtection="1">
      <alignment horizontal="left" vertical="center" wrapText="1"/>
    </xf>
    <xf numFmtId="0" fontId="14" fillId="4" borderId="16" xfId="0" applyFont="1" applyFill="1" applyBorder="1" applyAlignment="1" applyProtection="1">
      <alignment horizontal="center" vertical="center"/>
      <protection locked="0"/>
    </xf>
    <xf numFmtId="0" fontId="65" fillId="4" borderId="16" xfId="0" applyFont="1" applyFill="1" applyBorder="1" applyAlignment="1" applyProtection="1">
      <alignment horizontal="center" vertical="center" wrapText="1"/>
      <protection locked="0"/>
    </xf>
    <xf numFmtId="0" fontId="62" fillId="0" borderId="0"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4" xfId="0" applyFont="1" applyBorder="1" applyAlignment="1" applyProtection="1">
      <alignment horizontal="center" vertical="center" wrapText="1"/>
    </xf>
    <xf numFmtId="0" fontId="49" fillId="0" borderId="4" xfId="0" applyFont="1" applyBorder="1" applyAlignment="1" applyProtection="1">
      <alignment horizontal="left" vertical="center" wrapText="1" indent="1"/>
    </xf>
    <xf numFmtId="0" fontId="49" fillId="0" borderId="0" xfId="0" applyFont="1" applyBorder="1" applyAlignment="1" applyProtection="1">
      <alignment horizontal="left" vertical="center" wrapText="1" indent="1"/>
    </xf>
    <xf numFmtId="0" fontId="50" fillId="4" borderId="6" xfId="0" applyFont="1" applyFill="1" applyBorder="1" applyAlignment="1" applyProtection="1">
      <alignment horizontal="center" vertical="center"/>
      <protection locked="0"/>
    </xf>
    <xf numFmtId="0" fontId="50" fillId="4" borderId="8"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vertical="center"/>
      <protection locked="0"/>
    </xf>
    <xf numFmtId="0" fontId="49" fillId="2" borderId="4" xfId="0" applyFont="1" applyFill="1" applyBorder="1" applyAlignment="1" applyProtection="1">
      <alignment horizontal="left" vertical="center" wrapText="1" indent="1"/>
    </xf>
    <xf numFmtId="0" fontId="49" fillId="2" borderId="0" xfId="0" applyFont="1" applyFill="1" applyBorder="1" applyAlignment="1" applyProtection="1">
      <alignment horizontal="left" vertical="center" wrapText="1" indent="1"/>
    </xf>
    <xf numFmtId="0" fontId="49" fillId="0" borderId="0" xfId="0" applyFont="1" applyBorder="1" applyAlignment="1" applyProtection="1">
      <alignment horizontal="left" vertical="center" wrapText="1"/>
    </xf>
    <xf numFmtId="0" fontId="49" fillId="0" borderId="14" xfId="0" applyFont="1" applyBorder="1" applyAlignment="1" applyProtection="1">
      <alignment horizontal="left" vertical="center" wrapText="1"/>
    </xf>
    <xf numFmtId="0" fontId="49" fillId="0" borderId="0" xfId="0" applyFont="1" applyBorder="1" applyAlignment="1" applyProtection="1">
      <alignment horizontal="left" vertical="top" wrapText="1"/>
    </xf>
    <xf numFmtId="9" fontId="14" fillId="4" borderId="6" xfId="1" applyFont="1" applyFill="1" applyBorder="1" applyAlignment="1" applyProtection="1">
      <alignment horizontal="center" vertical="center"/>
      <protection locked="0"/>
    </xf>
    <xf numFmtId="9" fontId="14" fillId="4" borderId="8" xfId="1" applyFont="1" applyFill="1" applyBorder="1" applyAlignment="1" applyProtection="1">
      <alignment horizontal="center" vertical="center"/>
      <protection locked="0"/>
    </xf>
    <xf numFmtId="9" fontId="14" fillId="4" borderId="7" xfId="1" applyFont="1" applyFill="1" applyBorder="1" applyAlignment="1" applyProtection="1">
      <alignment horizontal="center" vertical="center"/>
      <protection locked="0"/>
    </xf>
    <xf numFmtId="0" fontId="62" fillId="0" borderId="5" xfId="0" applyFont="1" applyBorder="1" applyAlignment="1" applyProtection="1">
      <alignment horizontal="center" vertical="center" wrapText="1"/>
    </xf>
    <xf numFmtId="0" fontId="20" fillId="0" borderId="13"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2" borderId="0"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4" fillId="0" borderId="10" xfId="0" applyFont="1" applyBorder="1" applyAlignment="1" applyProtection="1">
      <alignment vertical="center" wrapText="1"/>
    </xf>
    <xf numFmtId="0" fontId="25" fillId="0" borderId="10" xfId="0" applyFont="1" applyBorder="1" applyAlignment="1" applyProtection="1">
      <alignment vertical="center"/>
    </xf>
    <xf numFmtId="0" fontId="34" fillId="5" borderId="19"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49" fillId="2" borderId="4" xfId="0" applyFont="1" applyFill="1" applyBorder="1" applyAlignment="1" applyProtection="1">
      <alignment horizontal="left" vertical="center" indent="1"/>
    </xf>
    <xf numFmtId="0" fontId="49" fillId="2" borderId="0" xfId="0" applyFont="1" applyFill="1" applyBorder="1" applyAlignment="1" applyProtection="1">
      <alignment horizontal="left" vertical="center" indent="1"/>
    </xf>
    <xf numFmtId="0" fontId="35" fillId="4" borderId="6" xfId="0" applyFont="1" applyFill="1" applyBorder="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49" fillId="2" borderId="0" xfId="0" applyFont="1" applyFill="1" applyBorder="1" applyAlignment="1" applyProtection="1">
      <alignment horizontal="left" vertical="center"/>
    </xf>
    <xf numFmtId="0" fontId="49" fillId="2" borderId="14" xfId="0" applyFont="1" applyFill="1" applyBorder="1" applyAlignment="1" applyProtection="1">
      <alignment horizontal="left" vertical="center"/>
    </xf>
    <xf numFmtId="0" fontId="14" fillId="4" borderId="6"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66" fillId="0" borderId="0" xfId="0" applyFont="1" applyBorder="1" applyAlignment="1" applyProtection="1">
      <alignment horizontal="center" vertical="center" wrapText="1"/>
    </xf>
    <xf numFmtId="0" fontId="49" fillId="2" borderId="4" xfId="0" applyFont="1" applyFill="1" applyBorder="1" applyAlignment="1" applyProtection="1">
      <alignment horizontal="left" vertical="top" indent="1"/>
    </xf>
    <xf numFmtId="0" fontId="49" fillId="2" borderId="0" xfId="0" applyFont="1" applyFill="1" applyBorder="1" applyAlignment="1" applyProtection="1">
      <alignment horizontal="left" vertical="top" indent="1"/>
    </xf>
    <xf numFmtId="0" fontId="6" fillId="2" borderId="4" xfId="0" applyFont="1" applyFill="1" applyBorder="1" applyAlignment="1" applyProtection="1">
      <alignment horizontal="left" vertical="center" indent="3"/>
    </xf>
    <xf numFmtId="0" fontId="6" fillId="2" borderId="0" xfId="0" applyFont="1" applyFill="1" applyBorder="1" applyAlignment="1" applyProtection="1">
      <alignment horizontal="left" vertical="center" indent="3"/>
    </xf>
    <xf numFmtId="0" fontId="35" fillId="0" borderId="0" xfId="0" applyFont="1" applyBorder="1" applyAlignment="1" applyProtection="1">
      <alignment horizontal="left" vertical="center" wrapText="1" indent="2"/>
    </xf>
    <xf numFmtId="0" fontId="49" fillId="2" borderId="4" xfId="0" applyFont="1" applyFill="1" applyBorder="1" applyAlignment="1" applyProtection="1">
      <alignment horizontal="left" vertical="top" wrapText="1" indent="1"/>
    </xf>
    <xf numFmtId="0" fontId="49" fillId="2" borderId="0" xfId="0" applyFont="1" applyFill="1" applyBorder="1" applyAlignment="1" applyProtection="1">
      <alignment horizontal="left" vertical="top" wrapText="1" indent="1"/>
    </xf>
    <xf numFmtId="0" fontId="24" fillId="0" borderId="12" xfId="0" applyFont="1" applyBorder="1" applyAlignment="1" applyProtection="1">
      <alignment horizontal="center" vertical="center"/>
    </xf>
    <xf numFmtId="168" fontId="14" fillId="2" borderId="0" xfId="2" applyNumberFormat="1"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33" fillId="5" borderId="35" xfId="0" applyFont="1" applyFill="1" applyBorder="1" applyAlignment="1" applyProtection="1">
      <alignment horizontal="center" vertical="center"/>
    </xf>
    <xf numFmtId="0" fontId="14" fillId="2" borderId="0" xfId="0" applyFont="1" applyFill="1" applyBorder="1" applyAlignment="1" applyProtection="1">
      <alignment horizontal="left" vertical="top" wrapText="1"/>
    </xf>
    <xf numFmtId="0" fontId="0" fillId="4" borderId="6" xfId="0" applyFill="1" applyBorder="1" applyAlignment="1">
      <alignment horizontal="center"/>
    </xf>
    <xf numFmtId="0" fontId="0" fillId="4" borderId="7" xfId="0" applyFill="1" applyBorder="1" applyAlignment="1">
      <alignment horizontal="center"/>
    </xf>
    <xf numFmtId="168" fontId="14" fillId="6" borderId="6" xfId="2" applyNumberFormat="1" applyFont="1" applyFill="1" applyBorder="1" applyAlignment="1" applyProtection="1">
      <alignment horizontal="center" vertical="center"/>
    </xf>
    <xf numFmtId="168" fontId="14" fillId="6" borderId="7" xfId="2" applyNumberFormat="1"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168" fontId="14" fillId="6" borderId="6" xfId="0" applyNumberFormat="1" applyFont="1" applyFill="1" applyBorder="1" applyAlignment="1">
      <alignment horizontal="center" vertical="center"/>
    </xf>
    <xf numFmtId="168" fontId="14" fillId="6" borderId="7" xfId="0" applyNumberFormat="1" applyFont="1" applyFill="1" applyBorder="1" applyAlignment="1">
      <alignment horizontal="center" vertical="center"/>
    </xf>
    <xf numFmtId="168" fontId="14" fillId="4" borderId="6" xfId="2" applyNumberFormat="1" applyFont="1" applyFill="1" applyBorder="1" applyAlignment="1">
      <alignment horizontal="center" vertical="center"/>
    </xf>
    <xf numFmtId="168" fontId="14" fillId="4" borderId="7" xfId="2" applyNumberFormat="1" applyFont="1" applyFill="1" applyBorder="1" applyAlignment="1">
      <alignment horizontal="center" vertical="center"/>
    </xf>
    <xf numFmtId="0" fontId="49" fillId="6" borderId="6" xfId="0" applyFont="1" applyFill="1" applyBorder="1" applyAlignment="1">
      <alignment horizontal="center"/>
    </xf>
    <xf numFmtId="0" fontId="49" fillId="6" borderId="8" xfId="0" applyFont="1" applyFill="1" applyBorder="1" applyAlignment="1">
      <alignment horizontal="center"/>
    </xf>
    <xf numFmtId="0" fontId="49" fillId="6" borderId="7" xfId="0" applyFont="1" applyFill="1" applyBorder="1" applyAlignment="1">
      <alignment horizontal="center"/>
    </xf>
    <xf numFmtId="168" fontId="67" fillId="6" borderId="6" xfId="0" applyNumberFormat="1" applyFont="1" applyFill="1" applyBorder="1" applyAlignment="1">
      <alignment horizontal="center" vertical="center"/>
    </xf>
    <xf numFmtId="168" fontId="67" fillId="6" borderId="7" xfId="0" applyNumberFormat="1" applyFont="1" applyFill="1" applyBorder="1" applyAlignment="1">
      <alignment horizontal="center" vertical="center"/>
    </xf>
    <xf numFmtId="168" fontId="9" fillId="6" borderId="6" xfId="2" applyNumberFormat="1" applyFont="1" applyFill="1" applyBorder="1" applyAlignment="1">
      <alignment horizontal="center" vertical="center"/>
    </xf>
    <xf numFmtId="168" fontId="9" fillId="6" borderId="7" xfId="2" applyNumberFormat="1" applyFont="1" applyFill="1" applyBorder="1" applyAlignment="1">
      <alignment horizontal="center" vertical="center"/>
    </xf>
    <xf numFmtId="168" fontId="49" fillId="2" borderId="0" xfId="2" applyNumberFormat="1" applyFont="1" applyFill="1" applyBorder="1" applyAlignment="1" applyProtection="1">
      <alignment horizontal="center" vertical="center"/>
    </xf>
    <xf numFmtId="168" fontId="14"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9" fontId="14" fillId="4" borderId="6" xfId="1" applyFont="1" applyFill="1" applyBorder="1" applyAlignment="1">
      <alignment horizontal="center" vertical="center"/>
    </xf>
    <xf numFmtId="9" fontId="14" fillId="4" borderId="7" xfId="1" applyFont="1" applyFill="1" applyBorder="1" applyAlignment="1">
      <alignment horizontal="center" vertical="center"/>
    </xf>
    <xf numFmtId="0" fontId="18" fillId="2" borderId="0" xfId="0" applyFont="1" applyFill="1" applyBorder="1" applyAlignment="1">
      <alignment horizontal="left" vertical="center" wrapText="1"/>
    </xf>
    <xf numFmtId="0" fontId="49" fillId="2" borderId="13" xfId="0" applyFont="1" applyFill="1" applyBorder="1" applyAlignment="1" applyProtection="1">
      <alignment horizontal="left" wrapText="1" indent="1"/>
    </xf>
    <xf numFmtId="0" fontId="49" fillId="2" borderId="0" xfId="0" applyFont="1" applyFill="1" applyBorder="1" applyAlignment="1" applyProtection="1">
      <alignment horizontal="left" wrapText="1" indent="1"/>
    </xf>
    <xf numFmtId="0" fontId="49" fillId="2" borderId="13" xfId="0" applyFont="1" applyFill="1" applyBorder="1" applyAlignment="1" applyProtection="1">
      <alignment horizontal="left" vertical="center" wrapText="1" indent="1"/>
    </xf>
    <xf numFmtId="0" fontId="0" fillId="0" borderId="0" xfId="0" applyFont="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6" fillId="0" borderId="0" xfId="0" applyFont="1" applyBorder="1" applyAlignment="1">
      <alignment horizontal="left" vertical="center"/>
    </xf>
    <xf numFmtId="168" fontId="49" fillId="6" borderId="6" xfId="2" applyNumberFormat="1" applyFont="1" applyFill="1" applyBorder="1" applyAlignment="1" applyProtection="1">
      <alignment horizontal="center" vertical="center"/>
    </xf>
    <xf numFmtId="168" fontId="49" fillId="6" borderId="7" xfId="2" applyNumberFormat="1" applyFont="1" applyFill="1" applyBorder="1" applyAlignment="1" applyProtection="1">
      <alignment horizontal="center" vertical="center"/>
    </xf>
    <xf numFmtId="0" fontId="9" fillId="2" borderId="12"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indent="2"/>
    </xf>
    <xf numFmtId="0" fontId="9" fillId="2" borderId="0" xfId="0" applyFont="1" applyFill="1" applyBorder="1" applyAlignment="1" applyProtection="1">
      <alignment horizontal="left" vertical="center" wrapText="1" indent="2"/>
    </xf>
    <xf numFmtId="0" fontId="45" fillId="4" borderId="21" xfId="0" applyFont="1" applyFill="1" applyBorder="1" applyAlignment="1" applyProtection="1">
      <alignment horizontal="left" vertical="top" wrapText="1"/>
      <protection locked="0"/>
    </xf>
    <xf numFmtId="0" fontId="45" fillId="4" borderId="9" xfId="0" applyFont="1" applyFill="1" applyBorder="1" applyAlignment="1" applyProtection="1">
      <alignment horizontal="left" vertical="top" wrapText="1"/>
      <protection locked="0"/>
    </xf>
    <xf numFmtId="0" fontId="45" fillId="4" borderId="22" xfId="0" applyFont="1" applyFill="1" applyBorder="1" applyAlignment="1" applyProtection="1">
      <alignment horizontal="left" vertical="top" wrapText="1"/>
      <protection locked="0"/>
    </xf>
    <xf numFmtId="0" fontId="45" fillId="4" borderId="13"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45" fillId="4" borderId="14" xfId="0" applyFont="1" applyFill="1" applyBorder="1" applyAlignment="1" applyProtection="1">
      <alignment horizontal="left" vertical="top" wrapText="1"/>
      <protection locked="0"/>
    </xf>
    <xf numFmtId="0" fontId="45" fillId="4" borderId="23" xfId="0" applyFont="1" applyFill="1" applyBorder="1" applyAlignment="1" applyProtection="1">
      <alignment horizontal="left" vertical="top" wrapText="1"/>
      <protection locked="0"/>
    </xf>
    <xf numFmtId="0" fontId="45" fillId="4" borderId="12" xfId="0" applyFont="1" applyFill="1" applyBorder="1" applyAlignment="1" applyProtection="1">
      <alignment horizontal="left" vertical="top" wrapText="1"/>
      <protection locked="0"/>
    </xf>
    <xf numFmtId="0" fontId="45" fillId="4" borderId="24" xfId="0" applyFont="1" applyFill="1" applyBorder="1" applyAlignment="1" applyProtection="1">
      <alignment horizontal="left" vertical="top" wrapText="1"/>
      <protection locked="0"/>
    </xf>
    <xf numFmtId="0" fontId="9" fillId="2" borderId="0" xfId="0" applyFont="1" applyFill="1" applyBorder="1" applyAlignment="1" applyProtection="1">
      <alignment horizontal="right" vertical="center"/>
    </xf>
    <xf numFmtId="0" fontId="9" fillId="2" borderId="4" xfId="0" applyFont="1" applyFill="1" applyBorder="1" applyAlignment="1" applyProtection="1">
      <alignment horizontal="right" wrapText="1"/>
    </xf>
    <xf numFmtId="0" fontId="2" fillId="0" borderId="0" xfId="0" applyFont="1" applyAlignment="1" applyProtection="1">
      <alignment horizontal="center" wrapText="1"/>
    </xf>
    <xf numFmtId="0" fontId="2"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9" fillId="2" borderId="4" xfId="0" applyFont="1" applyFill="1" applyBorder="1" applyAlignment="1" applyProtection="1">
      <alignment horizontal="left" wrapText="1" indent="2"/>
    </xf>
    <xf numFmtId="0" fontId="9" fillId="2" borderId="0" xfId="0" applyFont="1" applyFill="1" applyBorder="1" applyAlignment="1" applyProtection="1">
      <alignment horizontal="left" wrapText="1" indent="2"/>
    </xf>
    <xf numFmtId="0" fontId="20" fillId="0" borderId="4" xfId="0" applyFont="1" applyBorder="1" applyAlignment="1" applyProtection="1">
      <alignment horizontal="center"/>
    </xf>
    <xf numFmtId="0" fontId="20" fillId="0" borderId="0" xfId="0" applyFont="1" applyAlignment="1" applyProtection="1">
      <alignment horizontal="center"/>
    </xf>
    <xf numFmtId="0" fontId="20" fillId="0" borderId="4" xfId="0" applyFont="1" applyBorder="1" applyAlignment="1" applyProtection="1">
      <alignment horizontal="center" wrapText="1"/>
    </xf>
    <xf numFmtId="0" fontId="20" fillId="0" borderId="0" xfId="0" applyFont="1" applyAlignment="1" applyProtection="1">
      <alignment horizontal="center" wrapText="1"/>
    </xf>
    <xf numFmtId="0" fontId="20" fillId="0" borderId="4" xfId="0" applyFont="1" applyBorder="1" applyAlignment="1" applyProtection="1">
      <alignment horizontal="center" vertical="top" wrapText="1"/>
    </xf>
    <xf numFmtId="0" fontId="20" fillId="0" borderId="0" xfId="0" applyFont="1" applyAlignment="1" applyProtection="1">
      <alignment horizontal="center" vertical="top" wrapText="1"/>
    </xf>
    <xf numFmtId="0" fontId="2" fillId="0" borderId="0" xfId="0" applyFont="1" applyBorder="1" applyAlignment="1" applyProtection="1"/>
    <xf numFmtId="0" fontId="4" fillId="2" borderId="0" xfId="0" applyFont="1" applyFill="1" applyBorder="1" applyAlignment="1" applyProtection="1">
      <alignment horizontal="left" vertical="center"/>
    </xf>
    <xf numFmtId="0" fontId="2" fillId="0" borderId="0" xfId="0" applyFont="1" applyBorder="1" applyAlignment="1" applyProtection="1">
      <alignment horizontal="left"/>
    </xf>
    <xf numFmtId="0" fontId="4" fillId="0" borderId="0" xfId="0" applyFont="1" applyBorder="1" applyAlignment="1" applyProtection="1">
      <alignment horizontal="left"/>
    </xf>
    <xf numFmtId="0" fontId="31" fillId="0" borderId="0" xfId="0" applyFont="1" applyBorder="1" applyAlignment="1" applyProtection="1">
      <alignment horizontal="center" vertical="top" wrapText="1"/>
    </xf>
    <xf numFmtId="165" fontId="13" fillId="6" borderId="15" xfId="0" applyNumberFormat="1" applyFont="1" applyFill="1" applyBorder="1" applyAlignment="1" applyProtection="1">
      <alignment horizontal="center" vertical="center" wrapText="1"/>
    </xf>
    <xf numFmtId="165" fontId="13" fillId="6" borderId="1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2" fillId="2" borderId="1" xfId="0" quotePrefix="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xf>
    <xf numFmtId="165" fontId="23" fillId="2" borderId="3" xfId="0" applyNumberFormat="1" applyFont="1" applyFill="1" applyBorder="1" applyAlignment="1" applyProtection="1">
      <alignment horizontal="center" vertical="center" wrapText="1"/>
    </xf>
    <xf numFmtId="165" fontId="23" fillId="2" borderId="0" xfId="0" applyNumberFormat="1" applyFont="1" applyFill="1" applyBorder="1" applyAlignment="1" applyProtection="1">
      <alignment horizontal="center" vertical="center" wrapText="1"/>
    </xf>
    <xf numFmtId="165" fontId="23" fillId="2" borderId="5" xfId="0" applyNumberFormat="1" applyFont="1" applyFill="1" applyBorder="1" applyAlignment="1" applyProtection="1">
      <alignment horizontal="center" vertical="center" wrapText="1"/>
    </xf>
    <xf numFmtId="165" fontId="23" fillId="2" borderId="10" xfId="0" applyNumberFormat="1" applyFont="1" applyFill="1" applyBorder="1" applyAlignment="1" applyProtection="1">
      <alignment horizontal="center" vertical="center" wrapText="1"/>
    </xf>
    <xf numFmtId="165" fontId="23" fillId="2" borderId="11" xfId="0" applyNumberFormat="1"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49" fillId="4" borderId="16"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xf>
    <xf numFmtId="165" fontId="13" fillId="6" borderId="20" xfId="0" applyNumberFormat="1" applyFont="1" applyFill="1" applyBorder="1" applyAlignment="1" applyProtection="1">
      <alignment horizontal="center" vertical="center" wrapText="1"/>
    </xf>
    <xf numFmtId="165" fontId="13" fillId="6" borderId="19" xfId="0" applyNumberFormat="1" applyFont="1" applyFill="1" applyBorder="1" applyAlignment="1" applyProtection="1">
      <alignment horizontal="center" vertical="center" wrapText="1"/>
    </xf>
    <xf numFmtId="44" fontId="14" fillId="4" borderId="6" xfId="2" applyFont="1" applyFill="1" applyBorder="1" applyAlignment="1" applyProtection="1">
      <alignment horizontal="center" vertical="center"/>
      <protection locked="0"/>
    </xf>
    <xf numFmtId="44" fontId="14" fillId="4" borderId="7" xfId="2" applyFont="1" applyFill="1" applyBorder="1" applyAlignment="1" applyProtection="1">
      <alignment horizontal="center" vertical="center"/>
      <protection locked="0"/>
    </xf>
    <xf numFmtId="0" fontId="13" fillId="6" borderId="20"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wrapText="1"/>
    </xf>
    <xf numFmtId="0" fontId="13" fillId="6" borderId="18" xfId="0" applyFont="1" applyFill="1" applyBorder="1" applyAlignment="1" applyProtection="1">
      <alignment horizontal="center" vertical="center" wrapText="1"/>
    </xf>
    <xf numFmtId="168" fontId="21" fillId="0" borderId="10" xfId="0" applyNumberFormat="1" applyFont="1" applyBorder="1" applyAlignment="1" applyProtection="1">
      <alignment horizontal="center" vertical="top" wrapText="1"/>
    </xf>
    <xf numFmtId="0" fontId="49" fillId="6" borderId="6" xfId="0" quotePrefix="1" applyFont="1" applyFill="1" applyBorder="1" applyAlignment="1" applyProtection="1">
      <alignment horizontal="center" vertical="top" wrapText="1"/>
    </xf>
    <xf numFmtId="0" fontId="49" fillId="6" borderId="8" xfId="0" quotePrefix="1" applyFont="1" applyFill="1" applyBorder="1" applyAlignment="1" applyProtection="1">
      <alignment horizontal="center" vertical="top" wrapText="1"/>
    </xf>
    <xf numFmtId="0" fontId="49" fillId="6" borderId="7" xfId="0" quotePrefix="1" applyFont="1" applyFill="1" applyBorder="1" applyAlignment="1" applyProtection="1">
      <alignment horizontal="center" vertical="top" wrapText="1"/>
    </xf>
    <xf numFmtId="0" fontId="49" fillId="3" borderId="23" xfId="0" quotePrefix="1" applyFont="1" applyFill="1" applyBorder="1" applyAlignment="1" applyProtection="1">
      <alignment horizontal="left" vertical="top" wrapText="1" indent="2"/>
    </xf>
    <xf numFmtId="0" fontId="49" fillId="3" borderId="12" xfId="0" quotePrefix="1" applyFont="1" applyFill="1" applyBorder="1" applyAlignment="1" applyProtection="1">
      <alignment horizontal="left" vertical="top" wrapText="1" indent="2"/>
    </xf>
    <xf numFmtId="0" fontId="49" fillId="3" borderId="24" xfId="0" quotePrefix="1" applyFont="1" applyFill="1" applyBorder="1" applyAlignment="1" applyProtection="1">
      <alignment horizontal="left" vertical="top" wrapText="1" indent="2"/>
    </xf>
    <xf numFmtId="0" fontId="41" fillId="5" borderId="0" xfId="0" applyFont="1" applyFill="1" applyBorder="1" applyAlignment="1" applyProtection="1">
      <alignment horizontal="center"/>
    </xf>
    <xf numFmtId="0" fontId="41" fillId="5" borderId="14" xfId="0" applyFont="1" applyFill="1" applyBorder="1" applyAlignment="1" applyProtection="1">
      <alignment horizontal="center"/>
    </xf>
    <xf numFmtId="0" fontId="49" fillId="6" borderId="16" xfId="0" quotePrefix="1" applyFont="1" applyFill="1" applyBorder="1" applyAlignment="1" applyProtection="1">
      <alignment horizontal="center" vertical="top" wrapText="1"/>
    </xf>
    <xf numFmtId="0" fontId="41" fillId="5" borderId="6" xfId="0" applyFont="1" applyFill="1" applyBorder="1" applyAlignment="1" applyProtection="1">
      <alignment horizontal="center" vertical="center"/>
    </xf>
    <xf numFmtId="0" fontId="41" fillId="5" borderId="7" xfId="0" applyFont="1" applyFill="1" applyBorder="1" applyAlignment="1" applyProtection="1">
      <alignment horizontal="center" vertical="center"/>
    </xf>
    <xf numFmtId="0" fontId="62" fillId="2" borderId="0" xfId="0" applyFont="1" applyFill="1" applyBorder="1" applyAlignment="1" applyProtection="1">
      <alignment horizontal="center" vertical="top" wrapText="1"/>
    </xf>
    <xf numFmtId="0" fontId="62" fillId="2" borderId="12" xfId="0" applyFont="1" applyFill="1" applyBorder="1" applyAlignment="1" applyProtection="1">
      <alignment horizontal="center" vertical="top" wrapText="1"/>
    </xf>
    <xf numFmtId="0" fontId="20" fillId="0" borderId="4" xfId="0" applyFont="1" applyBorder="1" applyAlignment="1" applyProtection="1">
      <alignment horizontal="left" vertical="top" wrapText="1"/>
    </xf>
    <xf numFmtId="0" fontId="24" fillId="0" borderId="10" xfId="0" applyFont="1" applyBorder="1" applyAlignment="1" applyProtection="1">
      <alignment vertical="center"/>
    </xf>
    <xf numFmtId="0" fontId="21" fillId="0" borderId="4" xfId="0" applyFont="1" applyBorder="1" applyAlignment="1" applyProtection="1">
      <alignment horizontal="center" vertical="center" wrapText="1"/>
    </xf>
    <xf numFmtId="0" fontId="49" fillId="2" borderId="0" xfId="0" applyFont="1" applyFill="1" applyBorder="1" applyAlignment="1" applyProtection="1">
      <alignment horizontal="right" vertical="top" wrapText="1"/>
    </xf>
    <xf numFmtId="0" fontId="49" fillId="3" borderId="6" xfId="0" quotePrefix="1" applyFont="1" applyFill="1" applyBorder="1" applyAlignment="1" applyProtection="1">
      <alignment horizontal="left" vertical="top" wrapText="1" indent="2"/>
    </xf>
    <xf numFmtId="0" fontId="49" fillId="3" borderId="8" xfId="0" quotePrefix="1" applyFont="1" applyFill="1" applyBorder="1" applyAlignment="1" applyProtection="1">
      <alignment horizontal="left" vertical="top" wrapText="1" indent="2"/>
    </xf>
    <xf numFmtId="0" fontId="49" fillId="3" borderId="7" xfId="0" quotePrefix="1" applyFont="1" applyFill="1" applyBorder="1" applyAlignment="1" applyProtection="1">
      <alignment horizontal="left" vertical="top" wrapText="1" indent="2"/>
    </xf>
  </cellXfs>
  <cellStyles count="3">
    <cellStyle name="Currency" xfId="2" builtinId="4"/>
    <cellStyle name="Normal" xfId="0" builtinId="0"/>
    <cellStyle name="Percent" xfId="1" builtinId="5"/>
  </cellStyles>
  <dxfs count="46">
    <dxf>
      <font>
        <b/>
        <i val="0"/>
        <color theme="0"/>
      </font>
      <fill>
        <patternFill>
          <bgColor rgb="FFFF0000"/>
        </patternFill>
      </fill>
    </dxf>
    <dxf>
      <font>
        <b/>
        <i val="0"/>
      </font>
      <fill>
        <patternFill>
          <bgColor theme="5"/>
        </patternFill>
      </fill>
    </dxf>
    <dxf>
      <font>
        <b/>
        <i val="0"/>
      </font>
      <fill>
        <patternFill>
          <bgColor theme="6"/>
        </patternFill>
      </fill>
    </dxf>
    <dxf>
      <fill>
        <patternFill>
          <bgColor theme="0" tint="-0.14996795556505021"/>
        </patternFill>
      </fill>
    </dxf>
    <dxf>
      <font>
        <b/>
        <i val="0"/>
      </font>
      <fill>
        <patternFill>
          <bgColor theme="5"/>
        </patternFill>
      </fill>
    </dxf>
    <dxf>
      <font>
        <b/>
        <i val="0"/>
      </font>
      <fill>
        <patternFill>
          <bgColor theme="6"/>
        </patternFill>
      </fill>
    </dxf>
    <dxf>
      <fill>
        <patternFill>
          <bgColor theme="0" tint="-0.14996795556505021"/>
        </patternFill>
      </fill>
    </dxf>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theme="0" tint="-0.14996795556505021"/>
        </patternFill>
      </fill>
    </dxf>
    <dxf>
      <font>
        <b/>
        <i val="0"/>
        <color theme="0"/>
      </font>
      <fill>
        <patternFill>
          <bgColor rgb="FFFF5050"/>
        </patternFill>
      </fill>
    </dxf>
    <dxf>
      <font>
        <b/>
        <i val="0"/>
      </font>
      <fill>
        <patternFill>
          <bgColor theme="6" tint="0.39994506668294322"/>
        </patternFill>
      </fill>
    </dxf>
    <dxf>
      <fill>
        <patternFill>
          <bgColor theme="0" tint="-0.499984740745262"/>
        </patternFill>
      </fill>
    </dxf>
    <dxf>
      <fill>
        <patternFill patternType="lightUp">
          <bgColor theme="0" tint="-4.9989318521683403E-2"/>
        </patternFill>
      </fill>
    </dxf>
    <dxf>
      <font>
        <color theme="0" tint="-0.499984740745262"/>
      </font>
      <fill>
        <patternFill>
          <bgColor theme="0" tint="-0.499984740745262"/>
        </patternFill>
      </fill>
    </dxf>
    <dxf>
      <font>
        <color rgb="FFFF0000"/>
      </font>
    </dxf>
    <dxf>
      <fill>
        <patternFill>
          <bgColor theme="0" tint="-0.14996795556505021"/>
        </patternFill>
      </fill>
    </dxf>
    <dxf>
      <font>
        <color theme="0"/>
      </font>
      <fill>
        <patternFill patternType="lightUp">
          <bgColor theme="0" tint="-4.9989318521683403E-2"/>
        </patternFill>
      </fill>
    </dxf>
    <dxf>
      <fill>
        <patternFill>
          <bgColor rgb="FFFF7C80"/>
        </patternFill>
      </fill>
    </dxf>
    <dxf>
      <font>
        <color auto="1"/>
      </font>
      <fill>
        <patternFill patternType="none">
          <bgColor auto="1"/>
        </patternFill>
      </fill>
    </dxf>
  </dxfs>
  <tableStyles count="0" defaultTableStyle="TableStyleMedium2" defaultPivotStyle="PivotStyleLight16"/>
  <colors>
    <mruColors>
      <color rgb="FFFFFF99"/>
      <color rgb="FF416189"/>
      <color rgb="FFFF5050"/>
      <color rgb="FFBB6327"/>
      <color rgb="FFC86829"/>
      <color rgb="FF808080"/>
      <color rgb="FFFF7C80"/>
      <color rgb="FF969696"/>
      <color rgb="FFFF4F4F"/>
      <color rgb="FF679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209549</xdr:colOff>
      <xdr:row>28</xdr:row>
      <xdr:rowOff>1</xdr:rowOff>
    </xdr:from>
    <xdr:to>
      <xdr:col>21</xdr:col>
      <xdr:colOff>2114550</xdr:colOff>
      <xdr:row>32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20274" y="5600701"/>
          <a:ext cx="4095751" cy="971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twoCellAnchor>
    <xdr:from>
      <xdr:col>5</xdr:col>
      <xdr:colOff>1439</xdr:colOff>
      <xdr:row>0</xdr:row>
      <xdr:rowOff>61953</xdr:rowOff>
    </xdr:from>
    <xdr:to>
      <xdr:col>15</xdr:col>
      <xdr:colOff>314325</xdr:colOff>
      <xdr:row>0</xdr:row>
      <xdr:rowOff>1008528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45057" y="61953"/>
          <a:ext cx="5422768" cy="946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twoCellAnchor>
    <xdr:from>
      <xdr:col>17</xdr:col>
      <xdr:colOff>156081</xdr:colOff>
      <xdr:row>75</xdr:row>
      <xdr:rowOff>30816</xdr:rowOff>
    </xdr:from>
    <xdr:to>
      <xdr:col>21</xdr:col>
      <xdr:colOff>1120587</xdr:colOff>
      <xdr:row>80</xdr:row>
      <xdr:rowOff>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905199" y="16593110"/>
          <a:ext cx="3160859" cy="130268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2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829235</xdr:colOff>
      <xdr:row>0</xdr:row>
      <xdr:rowOff>78442</xdr:rowOff>
    </xdr:from>
    <xdr:to>
      <xdr:col>9</xdr:col>
      <xdr:colOff>840441</xdr:colOff>
      <xdr:row>0</xdr:row>
      <xdr:rowOff>930089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03059" y="78442"/>
          <a:ext cx="5950323" cy="8516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300" b="1" u="none"/>
            <a:t>   </a:t>
          </a:r>
        </a:p>
        <a:p>
          <a:pPr algn="ctr"/>
          <a:r>
            <a:rPr lang="en-US" sz="1200" b="1" u="none"/>
            <a:t>Have questions, need help filing this form out or would</a:t>
          </a:r>
          <a:r>
            <a:rPr lang="en-US" sz="1200" b="1" u="none" baseline="0"/>
            <a:t> you like to submit an exception?</a:t>
          </a:r>
        </a:p>
        <a:p>
          <a:pPr algn="ctr"/>
          <a:r>
            <a:rPr lang="en-US" sz="500" b="1" u="none" baseline="0"/>
            <a:t>   </a:t>
          </a:r>
        </a:p>
        <a:p>
          <a:pPr algn="ctr"/>
          <a:r>
            <a:rPr lang="en-US" sz="1200" b="0" u="none" baseline="0"/>
            <a:t>Contact your Scenario Desk</a:t>
          </a:r>
          <a:endParaRPr lang="en-US" sz="1200" b="1" u="sng">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123"/>
  <sheetViews>
    <sheetView showGridLines="0" tabSelected="1" zoomScale="85" zoomScaleNormal="85" workbookViewId="0">
      <selection activeCell="U8" sqref="U8"/>
    </sheetView>
  </sheetViews>
  <sheetFormatPr defaultColWidth="8.88671875" defaultRowHeight="14.4" x14ac:dyDescent="0.3"/>
  <cols>
    <col min="1" max="1" width="2.5546875" style="2" customWidth="1"/>
    <col min="2" max="2" width="3.88671875" style="2" customWidth="1"/>
    <col min="3" max="3" width="27.88671875" style="84" customWidth="1"/>
    <col min="4" max="4" width="17" style="84" customWidth="1"/>
    <col min="5" max="5" width="6.44140625" style="84" customWidth="1"/>
    <col min="6" max="6" width="1.5546875" style="2" customWidth="1"/>
    <col min="7" max="8" width="6.44140625" style="2" customWidth="1"/>
    <col min="9" max="11" width="2.33203125" style="2" customWidth="1"/>
    <col min="12" max="12" width="36.44140625" style="2" customWidth="1"/>
    <col min="13" max="13" width="1.6640625" style="2" customWidth="1"/>
    <col min="14" max="14" width="9.109375" style="2" customWidth="1"/>
    <col min="15" max="16" width="8" style="2" customWidth="1"/>
    <col min="17" max="17" width="3.88671875" style="2" customWidth="1"/>
    <col min="18" max="18" width="17" style="2" customWidth="1"/>
    <col min="19" max="19" width="4.33203125" style="2" customWidth="1"/>
    <col min="20" max="20" width="2.33203125" style="2" customWidth="1"/>
    <col min="21" max="21" width="9.33203125" style="2" customWidth="1"/>
    <col min="22" max="22" width="27.6640625" style="2" customWidth="1"/>
    <col min="23" max="23" width="5" style="2" customWidth="1"/>
    <col min="24" max="24" width="10.6640625" style="2" bestFit="1" customWidth="1"/>
    <col min="25" max="42" width="8.88671875" style="2"/>
    <col min="43" max="43" width="0" style="2" hidden="1" customWidth="1"/>
    <col min="44" max="16384" width="8.88671875" style="2"/>
  </cols>
  <sheetData>
    <row r="1" spans="2:31" ht="82.5" customHeight="1" thickBot="1" x14ac:dyDescent="0.35">
      <c r="B1" s="567" t="s">
        <v>89</v>
      </c>
      <c r="C1" s="568"/>
      <c r="D1" s="568"/>
      <c r="E1" s="568"/>
      <c r="F1" s="568"/>
      <c r="G1" s="568"/>
      <c r="H1" s="183"/>
      <c r="I1" s="183"/>
      <c r="J1" s="183"/>
      <c r="K1" s="183"/>
      <c r="V1" s="1"/>
    </row>
    <row r="2" spans="2:31" ht="24.75" customHeight="1" thickBot="1" x14ac:dyDescent="0.4">
      <c r="B2" s="509" t="s">
        <v>24</v>
      </c>
      <c r="C2" s="569"/>
      <c r="D2" s="569"/>
      <c r="E2" s="569"/>
      <c r="F2" s="569"/>
      <c r="G2" s="569"/>
      <c r="H2" s="569"/>
      <c r="I2" s="569"/>
      <c r="J2" s="569"/>
      <c r="K2" s="569"/>
      <c r="L2" s="569"/>
      <c r="M2" s="569"/>
      <c r="N2" s="569"/>
      <c r="O2" s="569"/>
      <c r="P2" s="569"/>
      <c r="Q2" s="570"/>
      <c r="R2" s="54"/>
      <c r="S2" s="55"/>
      <c r="T2" s="55"/>
      <c r="U2" s="56"/>
      <c r="V2" s="1"/>
      <c r="W2" s="67"/>
    </row>
    <row r="3" spans="2:31" ht="6.6" customHeight="1" x14ac:dyDescent="0.3">
      <c r="B3" s="228"/>
      <c r="C3" s="229"/>
      <c r="D3" s="229"/>
      <c r="E3" s="230"/>
      <c r="F3" s="8"/>
      <c r="G3" s="8"/>
      <c r="H3" s="8"/>
      <c r="I3" s="8"/>
      <c r="J3" s="8"/>
      <c r="K3" s="8"/>
      <c r="L3" s="8"/>
      <c r="M3" s="8"/>
      <c r="N3" s="8"/>
      <c r="O3" s="8"/>
      <c r="P3" s="8"/>
      <c r="Q3" s="231"/>
      <c r="R3" s="1"/>
      <c r="S3" s="10"/>
      <c r="T3" s="10"/>
      <c r="U3" s="10"/>
      <c r="V3" s="1"/>
      <c r="W3" s="1"/>
    </row>
    <row r="4" spans="2:31" s="164" customFormat="1" ht="15" customHeight="1" x14ac:dyDescent="0.3">
      <c r="B4" s="571" t="s">
        <v>74</v>
      </c>
      <c r="C4" s="572"/>
      <c r="D4" s="542"/>
      <c r="E4" s="514"/>
      <c r="F4" s="514"/>
      <c r="G4" s="514"/>
      <c r="H4" s="157"/>
      <c r="I4" s="157"/>
      <c r="J4" s="576" t="s">
        <v>75</v>
      </c>
      <c r="K4" s="576"/>
      <c r="L4" s="577"/>
      <c r="M4" s="512"/>
      <c r="N4" s="513"/>
      <c r="O4" s="513"/>
      <c r="P4" s="514"/>
      <c r="Q4" s="163"/>
      <c r="R4" s="157"/>
      <c r="S4" s="90"/>
      <c r="T4" s="90"/>
      <c r="U4" s="90"/>
      <c r="V4" s="157"/>
      <c r="W4" s="157"/>
    </row>
    <row r="5" spans="2:31" s="79" customFormat="1" ht="6" customHeight="1" x14ac:dyDescent="0.3">
      <c r="B5" s="158"/>
      <c r="C5" s="342"/>
      <c r="D5" s="213"/>
      <c r="E5" s="157"/>
      <c r="F5" s="157"/>
      <c r="G5" s="157"/>
      <c r="H5" s="157"/>
      <c r="I5" s="157"/>
      <c r="J5" s="157"/>
      <c r="K5" s="157"/>
      <c r="L5" s="157"/>
      <c r="M5" s="169"/>
      <c r="N5" s="169"/>
      <c r="O5" s="169"/>
      <c r="P5" s="169"/>
      <c r="Q5" s="83"/>
      <c r="R5" s="49"/>
      <c r="S5" s="90"/>
      <c r="T5" s="90"/>
      <c r="U5" s="90"/>
      <c r="V5" s="49"/>
      <c r="W5" s="49"/>
    </row>
    <row r="6" spans="2:31" s="164" customFormat="1" ht="15.6" x14ac:dyDescent="0.3">
      <c r="B6" s="552" t="s">
        <v>159</v>
      </c>
      <c r="C6" s="553"/>
      <c r="D6" s="578"/>
      <c r="E6" s="579"/>
      <c r="F6" s="579"/>
      <c r="G6" s="580"/>
      <c r="H6" s="169"/>
      <c r="I6" s="210"/>
      <c r="J6" s="554" t="s">
        <v>77</v>
      </c>
      <c r="K6" s="554"/>
      <c r="L6" s="554"/>
      <c r="M6" s="549"/>
      <c r="N6" s="550"/>
      <c r="O6" s="550"/>
      <c r="P6" s="551"/>
      <c r="Q6" s="163"/>
      <c r="W6" s="157"/>
    </row>
    <row r="7" spans="2:31" s="79" customFormat="1" ht="6.75" customHeight="1" x14ac:dyDescent="0.3">
      <c r="B7" s="552"/>
      <c r="C7" s="553"/>
      <c r="D7" s="317"/>
      <c r="E7" s="318"/>
      <c r="F7" s="157"/>
      <c r="G7" s="160"/>
      <c r="H7" s="160"/>
      <c r="I7" s="160"/>
      <c r="J7" s="160"/>
      <c r="K7" s="160"/>
      <c r="L7" s="289"/>
      <c r="M7" s="160"/>
      <c r="N7" s="160"/>
      <c r="O7" s="160"/>
      <c r="P7" s="160"/>
      <c r="Q7" s="83"/>
      <c r="R7" s="49"/>
      <c r="S7" s="90"/>
      <c r="W7" s="49"/>
    </row>
    <row r="8" spans="2:31" s="166" customFormat="1" ht="29.25" customHeight="1" x14ac:dyDescent="0.3">
      <c r="B8" s="547" t="s">
        <v>109</v>
      </c>
      <c r="C8" s="548"/>
      <c r="D8" s="578"/>
      <c r="E8" s="579"/>
      <c r="F8" s="579"/>
      <c r="G8" s="580"/>
      <c r="H8" s="213"/>
      <c r="I8" s="214"/>
      <c r="J8" s="554" t="s">
        <v>78</v>
      </c>
      <c r="K8" s="554"/>
      <c r="L8" s="555"/>
      <c r="M8" s="573"/>
      <c r="N8" s="574"/>
      <c r="O8" s="574"/>
      <c r="P8" s="575"/>
      <c r="Q8" s="165"/>
      <c r="W8" s="157"/>
      <c r="X8" s="164"/>
      <c r="Y8" s="164"/>
      <c r="Z8" s="164"/>
      <c r="AA8" s="164"/>
      <c r="AB8" s="164"/>
      <c r="AC8" s="164"/>
      <c r="AD8" s="164"/>
      <c r="AE8" s="164"/>
    </row>
    <row r="9" spans="2:31" s="93" customFormat="1" ht="7.5" customHeight="1" x14ac:dyDescent="0.3">
      <c r="B9" s="258"/>
      <c r="C9" s="255"/>
      <c r="D9" s="319"/>
      <c r="E9" s="320"/>
      <c r="F9" s="320"/>
      <c r="G9" s="161"/>
      <c r="H9" s="161"/>
      <c r="I9" s="161"/>
      <c r="J9" s="161"/>
      <c r="K9" s="161"/>
      <c r="L9" s="161"/>
      <c r="M9" s="161"/>
      <c r="N9" s="161"/>
      <c r="O9" s="161"/>
      <c r="P9" s="161"/>
      <c r="Q9" s="92"/>
      <c r="R9" s="151"/>
      <c r="S9" s="151"/>
      <c r="T9" s="151"/>
      <c r="U9" s="151"/>
      <c r="V9" s="151"/>
      <c r="W9" s="49"/>
      <c r="X9" s="79"/>
      <c r="Y9" s="79"/>
      <c r="Z9" s="79"/>
      <c r="AA9" s="79"/>
      <c r="AB9" s="79"/>
      <c r="AC9" s="79"/>
      <c r="AD9" s="79"/>
      <c r="AE9" s="79"/>
    </row>
    <row r="10" spans="2:31" s="93" customFormat="1" ht="17.25" customHeight="1" x14ac:dyDescent="0.3">
      <c r="B10" s="587" t="s">
        <v>76</v>
      </c>
      <c r="C10" s="588"/>
      <c r="D10" s="557"/>
      <c r="E10" s="558"/>
      <c r="F10" s="558"/>
      <c r="G10" s="559"/>
      <c r="H10" s="213"/>
      <c r="I10" s="214"/>
      <c r="J10" s="556" t="s">
        <v>129</v>
      </c>
      <c r="K10" s="556"/>
      <c r="L10" s="556"/>
      <c r="M10" s="573"/>
      <c r="N10" s="574"/>
      <c r="O10" s="574"/>
      <c r="P10" s="575"/>
      <c r="Q10" s="92"/>
      <c r="R10" s="151"/>
      <c r="S10" s="151"/>
      <c r="T10" s="151"/>
      <c r="U10" s="151"/>
      <c r="V10" s="151"/>
      <c r="W10" s="49"/>
      <c r="X10" s="79"/>
      <c r="Y10" s="79"/>
      <c r="Z10" s="79"/>
      <c r="AA10" s="79"/>
      <c r="AB10" s="79"/>
      <c r="AC10" s="79"/>
      <c r="AD10" s="79"/>
      <c r="AE10" s="79"/>
    </row>
    <row r="11" spans="2:31" s="93" customFormat="1" ht="28.5" customHeight="1" x14ac:dyDescent="0.3">
      <c r="B11" s="587"/>
      <c r="C11" s="588"/>
      <c r="D11" s="581" t="str">
        <f>IF(AND(Ownership&gt;0,D10&lt;0.5),"Borrowers must be 50-100% business owners. Please contact Scenario Desk.", "")</f>
        <v/>
      </c>
      <c r="E11" s="581"/>
      <c r="F11" s="581"/>
      <c r="G11" s="581"/>
      <c r="H11" s="581"/>
      <c r="I11" s="161"/>
      <c r="J11" s="556"/>
      <c r="K11" s="556"/>
      <c r="L11" s="556"/>
      <c r="M11" s="161"/>
      <c r="N11" s="565" t="str">
        <f>IF(BT="Personal","Please note that you must provide 2 mo of business bank statements","")</f>
        <v/>
      </c>
      <c r="O11" s="565"/>
      <c r="P11" s="565"/>
      <c r="Q11" s="566"/>
      <c r="R11" s="151"/>
      <c r="S11" s="151"/>
      <c r="T11" s="151"/>
      <c r="U11" s="151"/>
      <c r="V11" s="151"/>
      <c r="W11" s="49"/>
      <c r="X11" s="79"/>
      <c r="Y11" s="79"/>
      <c r="Z11" s="79"/>
      <c r="AA11" s="79"/>
      <c r="AB11" s="79"/>
      <c r="AC11" s="79"/>
      <c r="AD11" s="79"/>
      <c r="AE11" s="79"/>
    </row>
    <row r="12" spans="2:31" s="166" customFormat="1" ht="15" customHeight="1" x14ac:dyDescent="0.3">
      <c r="B12" s="582" t="s">
        <v>79</v>
      </c>
      <c r="C12" s="583"/>
      <c r="D12" s="583"/>
      <c r="E12" s="583"/>
      <c r="F12" s="583"/>
      <c r="G12" s="583"/>
      <c r="H12" s="583"/>
      <c r="I12" s="583"/>
      <c r="J12" s="542"/>
      <c r="K12" s="542"/>
      <c r="L12" s="542"/>
      <c r="M12" s="159"/>
      <c r="N12" s="565"/>
      <c r="O12" s="565"/>
      <c r="P12" s="565"/>
      <c r="Q12" s="566"/>
      <c r="R12" s="167"/>
      <c r="S12" s="167"/>
      <c r="T12" s="167"/>
      <c r="U12" s="167"/>
      <c r="V12" s="167"/>
      <c r="W12" s="157"/>
      <c r="X12" s="164"/>
      <c r="Y12" s="164"/>
      <c r="Z12" s="164"/>
      <c r="AA12" s="164"/>
      <c r="AB12" s="164"/>
      <c r="AC12" s="164"/>
      <c r="AD12" s="164"/>
      <c r="AE12" s="164"/>
    </row>
    <row r="13" spans="2:31" s="79" customFormat="1" ht="12" customHeight="1" x14ac:dyDescent="0.3">
      <c r="B13" s="584" t="s">
        <v>80</v>
      </c>
      <c r="C13" s="585"/>
      <c r="D13" s="341"/>
      <c r="E13" s="157"/>
      <c r="F13" s="157"/>
      <c r="G13" s="157"/>
      <c r="H13" s="157"/>
      <c r="I13" s="157"/>
      <c r="J13" s="157"/>
      <c r="K13" s="157"/>
      <c r="L13" s="157"/>
      <c r="M13" s="544" t="str">
        <f>IF(OR(J14="No", J16 = "Yes"), "Since your borrower combines their business banking with their personal banking, you must *qualify* under Business BS (regardless if the acct is in an indiv's name) 
Contact SGCP Scenario Desk for questions!", "")</f>
        <v/>
      </c>
      <c r="N13" s="544"/>
      <c r="O13" s="544"/>
      <c r="P13" s="544"/>
      <c r="Q13" s="560"/>
      <c r="R13" s="49"/>
      <c r="S13" s="90"/>
      <c r="T13" s="90"/>
      <c r="U13" s="90"/>
      <c r="V13" s="49"/>
      <c r="W13" s="49"/>
    </row>
    <row r="14" spans="2:31" s="79" customFormat="1" ht="18" customHeight="1" x14ac:dyDescent="0.3">
      <c r="B14" s="162"/>
      <c r="C14" s="586" t="s">
        <v>82</v>
      </c>
      <c r="D14" s="586"/>
      <c r="E14" s="586"/>
      <c r="F14" s="586"/>
      <c r="G14" s="586"/>
      <c r="H14" s="586"/>
      <c r="I14" s="586"/>
      <c r="J14" s="542"/>
      <c r="K14" s="542"/>
      <c r="L14" s="542"/>
      <c r="M14" s="544"/>
      <c r="N14" s="544"/>
      <c r="O14" s="544"/>
      <c r="P14" s="544"/>
      <c r="Q14" s="560"/>
      <c r="W14" s="49"/>
    </row>
    <row r="15" spans="2:31" s="79" customFormat="1" ht="11.25" customHeight="1" x14ac:dyDescent="0.3">
      <c r="B15" s="162"/>
      <c r="C15" s="586"/>
      <c r="D15" s="586"/>
      <c r="E15" s="586"/>
      <c r="F15" s="586"/>
      <c r="G15" s="586"/>
      <c r="H15" s="586"/>
      <c r="I15" s="586"/>
      <c r="J15" s="226"/>
      <c r="K15" s="226"/>
      <c r="L15" s="215"/>
      <c r="M15" s="544"/>
      <c r="N15" s="544"/>
      <c r="O15" s="544"/>
      <c r="P15" s="544"/>
      <c r="Q15" s="560"/>
      <c r="W15" s="49"/>
    </row>
    <row r="16" spans="2:31" s="79" customFormat="1" ht="15.75" customHeight="1" x14ac:dyDescent="0.3">
      <c r="B16" s="162"/>
      <c r="C16" s="586" t="s">
        <v>81</v>
      </c>
      <c r="D16" s="586"/>
      <c r="E16" s="586"/>
      <c r="F16" s="586"/>
      <c r="G16" s="586"/>
      <c r="H16" s="586"/>
      <c r="I16" s="586"/>
      <c r="J16" s="542"/>
      <c r="K16" s="542"/>
      <c r="L16" s="542"/>
      <c r="M16" s="544"/>
      <c r="N16" s="544"/>
      <c r="O16" s="544"/>
      <c r="P16" s="544"/>
      <c r="Q16" s="560"/>
      <c r="W16" s="49"/>
    </row>
    <row r="17" spans="2:24" s="79" customFormat="1" ht="6.75" customHeight="1" x14ac:dyDescent="0.3">
      <c r="B17" s="162"/>
      <c r="C17" s="157"/>
      <c r="D17" s="157"/>
      <c r="E17" s="157"/>
      <c r="F17" s="157"/>
      <c r="G17" s="157"/>
      <c r="H17" s="157"/>
      <c r="I17" s="157"/>
      <c r="J17" s="157"/>
      <c r="K17" s="157"/>
      <c r="L17" s="157"/>
      <c r="M17" s="544"/>
      <c r="N17" s="544"/>
      <c r="O17" s="544"/>
      <c r="P17" s="544"/>
      <c r="Q17" s="560"/>
      <c r="V17" s="49"/>
      <c r="W17" s="49"/>
    </row>
    <row r="18" spans="2:24" ht="8.4" customHeight="1" thickBot="1" x14ac:dyDescent="0.35">
      <c r="B18" s="18"/>
      <c r="C18" s="86"/>
      <c r="D18" s="86"/>
      <c r="E18" s="86"/>
      <c r="F18" s="24"/>
      <c r="G18" s="24"/>
      <c r="H18" s="24"/>
      <c r="I18" s="24"/>
      <c r="J18" s="24"/>
      <c r="K18" s="24"/>
      <c r="L18" s="24"/>
      <c r="M18" s="24"/>
      <c r="N18" s="24"/>
      <c r="O18" s="24"/>
      <c r="P18" s="24"/>
      <c r="Q18" s="19"/>
      <c r="R18" s="1"/>
      <c r="S18" s="6"/>
      <c r="T18" s="6"/>
      <c r="U18" s="6"/>
      <c r="V18" s="1"/>
      <c r="W18" s="1"/>
    </row>
    <row r="19" spans="2:24" ht="24" thickBot="1" x14ac:dyDescent="0.45">
      <c r="B19" s="509" t="s">
        <v>85</v>
      </c>
      <c r="C19" s="569"/>
      <c r="D19" s="569"/>
      <c r="E19" s="569"/>
      <c r="F19" s="569"/>
      <c r="G19" s="569"/>
      <c r="H19" s="569"/>
      <c r="I19" s="569"/>
      <c r="J19" s="569"/>
      <c r="K19" s="569"/>
      <c r="L19" s="569"/>
      <c r="M19" s="569"/>
      <c r="N19" s="569"/>
      <c r="O19" s="569"/>
      <c r="P19" s="569"/>
      <c r="Q19" s="570"/>
      <c r="R19" s="48"/>
      <c r="S19" s="48"/>
      <c r="T19" s="48"/>
      <c r="U19" s="48"/>
      <c r="V19" s="1"/>
      <c r="W19" s="1"/>
      <c r="X19" s="26"/>
    </row>
    <row r="20" spans="2:24" ht="10.5" customHeight="1" x14ac:dyDescent="0.4">
      <c r="B20" s="137"/>
      <c r="C20" s="108"/>
      <c r="D20" s="108"/>
      <c r="E20" s="108"/>
      <c r="F20" s="108"/>
      <c r="G20" s="108"/>
      <c r="H20" s="108"/>
      <c r="I20" s="108"/>
      <c r="J20" s="108"/>
      <c r="K20" s="108"/>
      <c r="L20" s="108"/>
      <c r="M20" s="108"/>
      <c r="N20" s="108"/>
      <c r="O20" s="108"/>
      <c r="P20" s="108"/>
      <c r="Q20" s="138"/>
      <c r="R20" s="48"/>
      <c r="S20" s="48"/>
      <c r="T20" s="48"/>
      <c r="U20" s="48"/>
      <c r="V20" s="1"/>
      <c r="W20" s="1"/>
      <c r="X20" s="26"/>
    </row>
    <row r="21" spans="2:24" ht="27.75" customHeight="1" x14ac:dyDescent="0.3">
      <c r="B21" s="539" t="s">
        <v>45</v>
      </c>
      <c r="C21" s="540"/>
      <c r="D21" s="397" t="str">
        <f>IF(AND(PorB="Yes",Seperatebooks="No",ISBLANK(BusExpinPer)),"Business",IF(AND(PorB="No",ISBLANK(Seperatebooks),ISBLANK(BusExpinPer)),"Business",IF(OR(ISBLANK(PorB),ISBLANK(Seperatebooks),ISBLANK(BusExpinPer)),"Please fill out Step 1 entirely",IF(AND(J12="Yes",J14="Yes",J16="No"),"Personal","Business"))))</f>
        <v>Please fill out Step 1 entirely</v>
      </c>
      <c r="E21" s="398"/>
      <c r="F21" s="398"/>
      <c r="G21" s="399"/>
      <c r="H21" s="53"/>
      <c r="I21" s="541" t="s">
        <v>41</v>
      </c>
      <c r="J21" s="541"/>
      <c r="K21" s="541"/>
      <c r="L21" s="541"/>
      <c r="M21" s="170"/>
      <c r="N21" s="542"/>
      <c r="O21" s="542"/>
      <c r="P21" s="542"/>
      <c r="Q21" s="139"/>
      <c r="R21" s="545" t="str">
        <f>IF(N21="Yes","Please provide conclusive evidence that the source of transfer is business related income.","")</f>
        <v/>
      </c>
      <c r="S21" s="545"/>
      <c r="T21" s="545"/>
      <c r="U21" s="545"/>
      <c r="V21" s="545"/>
      <c r="W21" s="1"/>
      <c r="X21" s="26"/>
    </row>
    <row r="22" spans="2:24" ht="4.5" customHeight="1" x14ac:dyDescent="0.3">
      <c r="B22" s="106"/>
      <c r="C22" s="114"/>
      <c r="D22" s="114"/>
      <c r="E22" s="114"/>
      <c r="F22" s="114"/>
      <c r="G22" s="114"/>
      <c r="H22" s="114"/>
      <c r="I22" s="114"/>
      <c r="J22" s="114"/>
      <c r="K22" s="114"/>
      <c r="L22" s="160"/>
      <c r="M22" s="114"/>
      <c r="N22" s="114"/>
      <c r="O22" s="114"/>
      <c r="P22" s="114"/>
      <c r="Q22" s="107"/>
      <c r="R22" s="273"/>
      <c r="S22" s="273"/>
      <c r="T22" s="273"/>
      <c r="U22" s="273"/>
      <c r="V22" s="274"/>
      <c r="W22" s="1"/>
      <c r="X22" s="26"/>
    </row>
    <row r="23" spans="2:24" ht="26.25" customHeight="1" x14ac:dyDescent="0.3">
      <c r="B23" s="539" t="s">
        <v>63</v>
      </c>
      <c r="C23" s="540"/>
      <c r="D23" s="400" t="str">
        <f>IF(BT="Please fill out all parts of question 5","",IF(COUNTA(D32:E43)+COUNTA(D50:E61)&lt;12,"Please enter at least 12 months of deposits",COUNTA(D32:E43)+COUNTA(D50:E61)))</f>
        <v>Please enter at least 12 months of deposits</v>
      </c>
      <c r="E23" s="401"/>
      <c r="F23" s="401"/>
      <c r="G23" s="402"/>
      <c r="H23" s="1"/>
      <c r="I23" s="541" t="s">
        <v>83</v>
      </c>
      <c r="J23" s="541"/>
      <c r="K23" s="541"/>
      <c r="L23" s="541"/>
      <c r="M23" s="171"/>
      <c r="N23" s="542"/>
      <c r="O23" s="542"/>
      <c r="P23" s="542"/>
      <c r="Q23" s="107"/>
      <c r="R23" s="546" t="str">
        <f>IF(N23="Yes","An LOE from the borrower is required to evaluate that NSFs and overdrafts are not due to financial mishandling and/or indicative of insufficient income.","")</f>
        <v/>
      </c>
      <c r="S23" s="544"/>
      <c r="T23" s="544"/>
      <c r="U23" s="544"/>
      <c r="V23" s="544"/>
      <c r="W23" s="544"/>
      <c r="X23" s="26"/>
    </row>
    <row r="24" spans="2:24" ht="6" customHeight="1" x14ac:dyDescent="0.3">
      <c r="B24" s="106"/>
      <c r="C24" s="114"/>
      <c r="D24" s="114"/>
      <c r="E24" s="114"/>
      <c r="F24" s="114"/>
      <c r="G24" s="114"/>
      <c r="H24" s="114"/>
      <c r="I24" s="114"/>
      <c r="J24" s="114"/>
      <c r="K24" s="114"/>
      <c r="L24" s="180"/>
      <c r="M24" s="171"/>
      <c r="N24" s="321"/>
      <c r="O24" s="321"/>
      <c r="P24" s="321"/>
      <c r="Q24" s="107"/>
      <c r="R24" s="273"/>
      <c r="S24" s="273"/>
      <c r="T24" s="273"/>
      <c r="U24" s="273"/>
      <c r="V24" s="275"/>
      <c r="W24" s="1"/>
      <c r="X24" s="26"/>
    </row>
    <row r="25" spans="2:24" ht="27.75" customHeight="1" x14ac:dyDescent="0.3">
      <c r="B25" s="539" t="s">
        <v>64</v>
      </c>
      <c r="C25" s="540"/>
      <c r="D25" s="403"/>
      <c r="E25" s="404"/>
      <c r="F25" s="404"/>
      <c r="G25" s="405"/>
      <c r="H25" s="1"/>
      <c r="I25" s="541" t="s">
        <v>38</v>
      </c>
      <c r="J25" s="541"/>
      <c r="K25" s="541"/>
      <c r="L25" s="541"/>
      <c r="M25" s="181"/>
      <c r="N25" s="543"/>
      <c r="O25" s="543"/>
      <c r="P25" s="543"/>
      <c r="Q25" s="107"/>
      <c r="R25" s="544" t="str">
        <f>IF(N25="Yes","Sourcing for large deposits not required if a sufficient borrower LOE is provided. Does not need to be addressed individually if consistent with the business.","")</f>
        <v/>
      </c>
      <c r="S25" s="544"/>
      <c r="T25" s="544"/>
      <c r="U25" s="544"/>
      <c r="V25" s="544"/>
      <c r="W25" s="1"/>
      <c r="X25" s="26"/>
    </row>
    <row r="26" spans="2:24" ht="6" customHeight="1" x14ac:dyDescent="0.3">
      <c r="B26" s="106"/>
      <c r="C26" s="150"/>
      <c r="D26" s="150"/>
      <c r="E26" s="150"/>
      <c r="F26" s="132"/>
      <c r="G26" s="176"/>
      <c r="H26" s="176"/>
      <c r="I26" s="176"/>
      <c r="J26" s="176"/>
      <c r="K26" s="176"/>
      <c r="L26" s="1"/>
      <c r="M26" s="1"/>
      <c r="N26" s="1"/>
      <c r="O26" s="1"/>
      <c r="P26" s="1"/>
      <c r="Q26" s="107"/>
      <c r="R26" s="544"/>
      <c r="S26" s="544"/>
      <c r="T26" s="544"/>
      <c r="U26" s="544"/>
      <c r="V26" s="544"/>
      <c r="W26" s="1"/>
      <c r="X26" s="26"/>
    </row>
    <row r="27" spans="2:24" ht="17.25" customHeight="1" x14ac:dyDescent="0.4">
      <c r="B27" s="106"/>
      <c r="C27" s="150"/>
      <c r="D27" s="150"/>
      <c r="E27" s="150"/>
      <c r="F27" s="132"/>
      <c r="G27" s="534"/>
      <c r="H27" s="534"/>
      <c r="I27" s="534"/>
      <c r="J27" s="534"/>
      <c r="K27" s="534"/>
      <c r="L27" s="534"/>
      <c r="M27" s="168"/>
      <c r="N27" s="168"/>
      <c r="O27" s="168"/>
      <c r="P27" s="168"/>
      <c r="Q27" s="107"/>
      <c r="R27" s="48"/>
      <c r="S27" s="48"/>
      <c r="T27" s="48"/>
      <c r="U27" s="48"/>
      <c r="W27" s="1"/>
      <c r="X27" s="26"/>
    </row>
    <row r="28" spans="2:24" ht="15.75" customHeight="1" thickBot="1" x14ac:dyDescent="0.45">
      <c r="B28" s="9"/>
      <c r="C28" s="535" t="str">
        <f>IF(D25="","YOU MUST ENTER THE DATE OF THE MOST RECENT BANK STATEMENT ABOVE (#5) TO CONTINUE WITH YOUR DEPOSIT EVALUATION BELOW.","")</f>
        <v>YOU MUST ENTER THE DATE OF THE MOST RECENT BANK STATEMENT ABOVE (#5) TO CONTINUE WITH YOUR DEPOSIT EVALUATION BELOW.</v>
      </c>
      <c r="D28" s="535"/>
      <c r="E28" s="535"/>
      <c r="F28" s="535"/>
      <c r="G28" s="535"/>
      <c r="H28" s="535"/>
      <c r="I28" s="535"/>
      <c r="J28" s="535"/>
      <c r="K28" s="535"/>
      <c r="L28" s="535"/>
      <c r="M28" s="535"/>
      <c r="N28" s="535"/>
      <c r="O28" s="535"/>
      <c r="P28" s="535"/>
      <c r="Q28" s="70"/>
      <c r="U28" s="50"/>
      <c r="W28" s="1"/>
    </row>
    <row r="29" spans="2:24" ht="18.75" customHeight="1" thickBot="1" x14ac:dyDescent="0.45">
      <c r="B29" s="9"/>
      <c r="C29" s="492" t="s">
        <v>29</v>
      </c>
      <c r="D29" s="493"/>
      <c r="E29" s="493"/>
      <c r="F29" s="493"/>
      <c r="G29" s="493"/>
      <c r="H29" s="493"/>
      <c r="I29" s="493"/>
      <c r="J29" s="493"/>
      <c r="K29" s="493"/>
      <c r="L29" s="493"/>
      <c r="M29" s="493"/>
      <c r="N29" s="493"/>
      <c r="O29" s="493"/>
      <c r="P29" s="494"/>
      <c r="Q29" s="70"/>
      <c r="R29" s="536"/>
      <c r="S29" s="536"/>
      <c r="T29" s="536"/>
      <c r="U29" s="50"/>
      <c r="W29" s="1"/>
    </row>
    <row r="30" spans="2:24" ht="15.75" customHeight="1" x14ac:dyDescent="0.4">
      <c r="B30" s="9"/>
      <c r="C30" s="525" t="s">
        <v>65</v>
      </c>
      <c r="D30" s="460" t="s">
        <v>35</v>
      </c>
      <c r="E30" s="461"/>
      <c r="F30" s="85"/>
      <c r="G30" s="526" t="s">
        <v>84</v>
      </c>
      <c r="H30" s="526"/>
      <c r="I30" s="526"/>
      <c r="J30" s="526"/>
      <c r="K30" s="526"/>
      <c r="L30" s="526"/>
      <c r="M30" s="85"/>
      <c r="N30" s="460" t="s">
        <v>111</v>
      </c>
      <c r="O30" s="537"/>
      <c r="P30" s="461"/>
      <c r="Q30" s="70"/>
      <c r="R30" s="536"/>
      <c r="S30" s="536"/>
      <c r="T30" s="536"/>
      <c r="U30" s="50"/>
      <c r="W30" s="1"/>
    </row>
    <row r="31" spans="2:24" ht="9.75" customHeight="1" x14ac:dyDescent="0.4">
      <c r="B31" s="9"/>
      <c r="C31" s="526"/>
      <c r="D31" s="462"/>
      <c r="E31" s="463"/>
      <c r="F31" s="85"/>
      <c r="G31" s="437" t="s">
        <v>37</v>
      </c>
      <c r="H31" s="438"/>
      <c r="I31" s="438"/>
      <c r="J31" s="438"/>
      <c r="K31" s="439"/>
      <c r="L31" s="101" t="s">
        <v>36</v>
      </c>
      <c r="M31" s="102"/>
      <c r="N31" s="462"/>
      <c r="O31" s="538"/>
      <c r="P31" s="463"/>
      <c r="Q31" s="70"/>
      <c r="R31" s="536"/>
      <c r="S31" s="536"/>
      <c r="T31" s="536"/>
      <c r="U31" s="50"/>
      <c r="W31" s="1"/>
    </row>
    <row r="32" spans="2:24" ht="21" customHeight="1" x14ac:dyDescent="0.3">
      <c r="B32" s="9"/>
      <c r="C32" s="216" t="str">
        <f>IF(DateRecentStatement="", "TBD", IF(D25&lt;&gt;"",(TEXT(D25,"mmmm-yyy")),"TBD"))</f>
        <v>TBD</v>
      </c>
      <c r="D32" s="464"/>
      <c r="E32" s="464"/>
      <c r="F32" s="296">
        <v>10</v>
      </c>
      <c r="G32" s="434"/>
      <c r="H32" s="435"/>
      <c r="I32" s="435"/>
      <c r="J32" s="435"/>
      <c r="K32" s="436"/>
      <c r="L32" s="350"/>
      <c r="M32" s="351"/>
      <c r="N32" s="464">
        <f>Deposit1-DepositNotBus1</f>
        <v>0</v>
      </c>
      <c r="O32" s="464"/>
      <c r="P32" s="464"/>
      <c r="Q32" s="70"/>
      <c r="R32" s="536"/>
      <c r="S32" s="536"/>
      <c r="T32" s="536"/>
      <c r="U32" s="51"/>
      <c r="W32" s="1"/>
    </row>
    <row r="33" spans="2:23" ht="20.25" customHeight="1" x14ac:dyDescent="0.3">
      <c r="B33" s="9"/>
      <c r="C33" s="217" t="str">
        <f>IF(C32="TBD","TBD",IF(C32&lt;&gt;"",(EDATE($D$25,-1)),""))</f>
        <v>TBD</v>
      </c>
      <c r="D33" s="434"/>
      <c r="E33" s="436"/>
      <c r="F33" s="1"/>
      <c r="G33" s="434"/>
      <c r="H33" s="435"/>
      <c r="I33" s="435"/>
      <c r="J33" s="435"/>
      <c r="K33" s="436"/>
      <c r="L33" s="350"/>
      <c r="M33" s="351"/>
      <c r="N33" s="464">
        <f>Deposit2-DepositNotBus2</f>
        <v>0</v>
      </c>
      <c r="O33" s="464"/>
      <c r="P33" s="464"/>
      <c r="Q33" s="70"/>
      <c r="R33" s="536"/>
      <c r="S33" s="536"/>
      <c r="T33" s="536"/>
      <c r="U33" s="51"/>
      <c r="W33" s="1"/>
    </row>
    <row r="34" spans="2:23" ht="21" customHeight="1" x14ac:dyDescent="0.3">
      <c r="B34" s="9"/>
      <c r="C34" s="217" t="str">
        <f>IF(C33="TBD","TBD",IF(C33&lt;&gt;"",(EDATE($D$25,-2)),""))</f>
        <v>TBD</v>
      </c>
      <c r="D34" s="434"/>
      <c r="E34" s="436"/>
      <c r="F34" s="1"/>
      <c r="G34" s="434"/>
      <c r="H34" s="435"/>
      <c r="I34" s="435"/>
      <c r="J34" s="435"/>
      <c r="K34" s="436"/>
      <c r="L34" s="350"/>
      <c r="M34" s="351"/>
      <c r="N34" s="464">
        <f>Deposit3-DepositNotBus3</f>
        <v>0</v>
      </c>
      <c r="O34" s="464"/>
      <c r="P34" s="464"/>
      <c r="Q34" s="11"/>
      <c r="R34" s="533"/>
      <c r="S34" s="533"/>
      <c r="T34" s="533"/>
      <c r="U34" s="51"/>
      <c r="W34" s="1"/>
    </row>
    <row r="35" spans="2:23" ht="21" customHeight="1" x14ac:dyDescent="0.3">
      <c r="B35" s="9"/>
      <c r="C35" s="217" t="str">
        <f>IF(C34="TBD","TBD",IF(C34&lt;&gt;"",(EDATE($D$25,-3)),""))</f>
        <v>TBD</v>
      </c>
      <c r="D35" s="434"/>
      <c r="E35" s="436"/>
      <c r="F35" s="1"/>
      <c r="G35" s="434"/>
      <c r="H35" s="435"/>
      <c r="I35" s="435"/>
      <c r="J35" s="435"/>
      <c r="K35" s="436"/>
      <c r="L35" s="350"/>
      <c r="M35" s="351"/>
      <c r="N35" s="464">
        <f t="shared" ref="N35:N43" si="0">D35-G35</f>
        <v>0</v>
      </c>
      <c r="O35" s="464"/>
      <c r="P35" s="464"/>
      <c r="Q35" s="11"/>
      <c r="R35" s="533"/>
      <c r="S35" s="533"/>
      <c r="T35" s="533"/>
      <c r="U35" s="51"/>
      <c r="W35" s="1"/>
    </row>
    <row r="36" spans="2:23" ht="21" customHeight="1" x14ac:dyDescent="0.3">
      <c r="B36" s="9"/>
      <c r="C36" s="217" t="str">
        <f>IF(C35="TBD","TBD",IF(C35&lt;&gt;"",(EDATE($D$25,-4)),""))</f>
        <v>TBD</v>
      </c>
      <c r="D36" s="434"/>
      <c r="E36" s="436"/>
      <c r="F36" s="1"/>
      <c r="G36" s="434"/>
      <c r="H36" s="435"/>
      <c r="I36" s="435"/>
      <c r="J36" s="435"/>
      <c r="K36" s="436"/>
      <c r="L36" s="350"/>
      <c r="M36" s="351"/>
      <c r="N36" s="464">
        <f t="shared" si="0"/>
        <v>0</v>
      </c>
      <c r="O36" s="464"/>
      <c r="P36" s="464"/>
      <c r="Q36" s="11"/>
      <c r="R36" s="533"/>
      <c r="S36" s="533"/>
      <c r="T36" s="533"/>
      <c r="U36" s="51"/>
      <c r="W36" s="1"/>
    </row>
    <row r="37" spans="2:23" ht="21" customHeight="1" x14ac:dyDescent="0.3">
      <c r="B37" s="9"/>
      <c r="C37" s="217" t="str">
        <f>IF(C36="TBD","TBD",IF(C36&lt;&gt;"",(EDATE($D$25,-5)),""))</f>
        <v>TBD</v>
      </c>
      <c r="D37" s="434"/>
      <c r="E37" s="436"/>
      <c r="F37" s="1"/>
      <c r="G37" s="434"/>
      <c r="H37" s="435"/>
      <c r="I37" s="435"/>
      <c r="J37" s="435"/>
      <c r="K37" s="436"/>
      <c r="L37" s="350"/>
      <c r="M37" s="351"/>
      <c r="N37" s="464">
        <f t="shared" si="0"/>
        <v>0</v>
      </c>
      <c r="O37" s="464"/>
      <c r="P37" s="464"/>
      <c r="Q37" s="11"/>
      <c r="U37" s="51"/>
      <c r="W37" s="1"/>
    </row>
    <row r="38" spans="2:23" ht="21" customHeight="1" x14ac:dyDescent="0.3">
      <c r="B38" s="9"/>
      <c r="C38" s="217" t="str">
        <f>IF(C37="TBD","TBD",IF(C37&lt;&gt;"",(EDATE($D$25,-6)),""))</f>
        <v>TBD</v>
      </c>
      <c r="D38" s="434"/>
      <c r="E38" s="436"/>
      <c r="F38" s="1"/>
      <c r="G38" s="434"/>
      <c r="H38" s="435"/>
      <c r="I38" s="435"/>
      <c r="J38" s="435"/>
      <c r="K38" s="436"/>
      <c r="L38" s="350"/>
      <c r="M38" s="351"/>
      <c r="N38" s="464">
        <f t="shared" si="0"/>
        <v>0</v>
      </c>
      <c r="O38" s="464"/>
      <c r="P38" s="464"/>
      <c r="Q38" s="11"/>
      <c r="R38" s="529"/>
      <c r="S38" s="530"/>
      <c r="T38" s="152"/>
      <c r="U38" s="51"/>
      <c r="W38" s="1"/>
    </row>
    <row r="39" spans="2:23" ht="21" customHeight="1" x14ac:dyDescent="0.3">
      <c r="B39" s="9"/>
      <c r="C39" s="217" t="str">
        <f>IF(C38="TBD","TBD",IF(C38&lt;&gt;"",(EDATE($D$25,-7)),""))</f>
        <v>TBD</v>
      </c>
      <c r="D39" s="434"/>
      <c r="E39" s="436"/>
      <c r="F39" s="1"/>
      <c r="G39" s="434"/>
      <c r="H39" s="435"/>
      <c r="I39" s="435"/>
      <c r="J39" s="435"/>
      <c r="K39" s="436"/>
      <c r="L39" s="350"/>
      <c r="M39" s="351"/>
      <c r="N39" s="464">
        <f t="shared" si="0"/>
        <v>0</v>
      </c>
      <c r="O39" s="464"/>
      <c r="P39" s="464"/>
      <c r="Q39" s="11"/>
      <c r="R39" s="531"/>
      <c r="S39" s="531"/>
      <c r="T39" s="153"/>
      <c r="U39" s="51"/>
      <c r="W39" s="1"/>
    </row>
    <row r="40" spans="2:23" ht="21" customHeight="1" x14ac:dyDescent="0.3">
      <c r="B40" s="9"/>
      <c r="C40" s="217" t="str">
        <f>IF(C39="TBD","TBD",IF(C39&lt;&gt;"",(EDATE($D$25,-8)),""))</f>
        <v>TBD</v>
      </c>
      <c r="D40" s="434"/>
      <c r="E40" s="436"/>
      <c r="F40" s="1"/>
      <c r="G40" s="434"/>
      <c r="H40" s="435"/>
      <c r="I40" s="435"/>
      <c r="J40" s="435"/>
      <c r="K40" s="436"/>
      <c r="L40" s="350"/>
      <c r="M40" s="351"/>
      <c r="N40" s="464">
        <f t="shared" si="0"/>
        <v>0</v>
      </c>
      <c r="O40" s="464"/>
      <c r="P40" s="464"/>
      <c r="Q40" s="11"/>
      <c r="R40" s="531"/>
      <c r="S40" s="531"/>
      <c r="T40" s="153" t="s">
        <v>4</v>
      </c>
      <c r="U40" s="51"/>
      <c r="W40" s="1"/>
    </row>
    <row r="41" spans="2:23" ht="21" customHeight="1" x14ac:dyDescent="0.3">
      <c r="B41" s="9"/>
      <c r="C41" s="217" t="str">
        <f>IF(C40="TBD","TBD",IF(C40&lt;&gt;"",(EDATE($D$25,-9)),""))</f>
        <v>TBD</v>
      </c>
      <c r="D41" s="434"/>
      <c r="E41" s="436"/>
      <c r="F41" s="1"/>
      <c r="G41" s="434"/>
      <c r="H41" s="435"/>
      <c r="I41" s="435"/>
      <c r="J41" s="435"/>
      <c r="K41" s="436"/>
      <c r="L41" s="350"/>
      <c r="M41" s="351"/>
      <c r="N41" s="464">
        <f t="shared" si="0"/>
        <v>0</v>
      </c>
      <c r="O41" s="464"/>
      <c r="P41" s="464"/>
      <c r="Q41" s="11"/>
      <c r="R41" s="531"/>
      <c r="S41" s="531"/>
      <c r="T41" s="153"/>
      <c r="U41" s="51"/>
      <c r="W41" s="1"/>
    </row>
    <row r="42" spans="2:23" ht="21" customHeight="1" x14ac:dyDescent="0.3">
      <c r="B42" s="9"/>
      <c r="C42" s="217" t="str">
        <f>IF(C41="TBD","TBD",IF(C41&lt;&gt;"",(EDATE($D$25,-10)),""))</f>
        <v>TBD</v>
      </c>
      <c r="D42" s="434"/>
      <c r="E42" s="436"/>
      <c r="F42" s="1"/>
      <c r="G42" s="434"/>
      <c r="H42" s="435"/>
      <c r="I42" s="435"/>
      <c r="J42" s="435"/>
      <c r="K42" s="436"/>
      <c r="L42" s="350"/>
      <c r="M42" s="351"/>
      <c r="N42" s="464">
        <f t="shared" si="0"/>
        <v>0</v>
      </c>
      <c r="O42" s="464"/>
      <c r="P42" s="464"/>
      <c r="Q42" s="11"/>
      <c r="R42" s="531"/>
      <c r="S42" s="531"/>
      <c r="T42" s="153"/>
      <c r="U42" s="51"/>
      <c r="W42" s="1"/>
    </row>
    <row r="43" spans="2:23" ht="21" customHeight="1" x14ac:dyDescent="0.3">
      <c r="B43" s="9"/>
      <c r="C43" s="217" t="str">
        <f>IF(C42="TBD","TBD",IF(C42&lt;&gt;"",(EDATE($D$25,-11)),""))</f>
        <v>TBD</v>
      </c>
      <c r="D43" s="434"/>
      <c r="E43" s="436"/>
      <c r="F43" s="1"/>
      <c r="G43" s="434"/>
      <c r="H43" s="435"/>
      <c r="I43" s="435"/>
      <c r="J43" s="435"/>
      <c r="K43" s="436"/>
      <c r="L43" s="350"/>
      <c r="M43" s="351"/>
      <c r="N43" s="464">
        <f t="shared" si="0"/>
        <v>0</v>
      </c>
      <c r="O43" s="464"/>
      <c r="P43" s="464"/>
      <c r="Q43" s="11"/>
      <c r="R43" s="532"/>
      <c r="S43" s="532"/>
      <c r="T43" s="154"/>
      <c r="U43" s="51"/>
      <c r="W43" s="1"/>
    </row>
    <row r="44" spans="2:23" s="79" customFormat="1" ht="18" x14ac:dyDescent="0.35">
      <c r="B44" s="80"/>
      <c r="C44" s="12" t="s">
        <v>62</v>
      </c>
      <c r="D44" s="447">
        <f>SUM(D32:E43)</f>
        <v>0</v>
      </c>
      <c r="E44" s="447"/>
      <c r="F44" s="49"/>
      <c r="G44" s="172">
        <f>SUM(G32:G43)</f>
        <v>0</v>
      </c>
      <c r="H44" s="172"/>
      <c r="I44" s="172"/>
      <c r="J44" s="172"/>
      <c r="K44" s="172"/>
      <c r="L44" s="443" t="s">
        <v>112</v>
      </c>
      <c r="M44" s="443"/>
      <c r="N44" s="528">
        <f>SUM(N32:N43)</f>
        <v>0</v>
      </c>
      <c r="O44" s="528"/>
      <c r="P44" s="528"/>
      <c r="Q44" s="83"/>
      <c r="R44" s="81"/>
      <c r="S44" s="82"/>
      <c r="T44" s="82"/>
      <c r="U44" s="82"/>
      <c r="W44" s="49"/>
    </row>
    <row r="45" spans="2:23" ht="18" customHeight="1" x14ac:dyDescent="0.3">
      <c r="B45" s="9"/>
      <c r="C45" s="491" t="str">
        <f>IF(D44="TBD","NOTE: Totals will not populate until ALL months are entered. If no deposits, enter $0"," ")</f>
        <v xml:space="preserve"> </v>
      </c>
      <c r="D45" s="491"/>
      <c r="E45" s="491"/>
      <c r="F45" s="491"/>
      <c r="G45" s="491"/>
      <c r="H45" s="491"/>
      <c r="I45" s="491"/>
      <c r="J45" s="491"/>
      <c r="K45" s="491"/>
      <c r="L45" s="491"/>
      <c r="M45" s="155"/>
      <c r="N45" s="155"/>
      <c r="O45" s="155"/>
      <c r="P45" s="155"/>
      <c r="Q45" s="11"/>
      <c r="R45" s="1"/>
      <c r="S45" s="1"/>
      <c r="T45" s="1"/>
      <c r="U45" s="1"/>
      <c r="V45" s="1"/>
      <c r="W45" s="1" t="s">
        <v>4</v>
      </c>
    </row>
    <row r="46" spans="2:23" ht="8.4" customHeight="1" thickBot="1" x14ac:dyDescent="0.4">
      <c r="B46" s="9"/>
      <c r="C46" s="14"/>
      <c r="D46" s="14"/>
      <c r="E46" s="15"/>
      <c r="F46" s="15"/>
      <c r="G46" s="15"/>
      <c r="H46" s="15"/>
      <c r="I46" s="15"/>
      <c r="J46" s="15"/>
      <c r="K46" s="15"/>
      <c r="L46" s="15"/>
      <c r="M46" s="15"/>
      <c r="N46" s="15"/>
      <c r="O46" s="15"/>
      <c r="P46" s="15"/>
      <c r="Q46" s="16"/>
      <c r="R46" s="15"/>
      <c r="S46" s="15"/>
      <c r="T46" s="15"/>
      <c r="U46" s="15"/>
      <c r="W46" s="1"/>
    </row>
    <row r="47" spans="2:23" ht="18.75" customHeight="1" thickBot="1" x14ac:dyDescent="0.4">
      <c r="B47" s="69"/>
      <c r="C47" s="492" t="s">
        <v>133</v>
      </c>
      <c r="D47" s="493"/>
      <c r="E47" s="493"/>
      <c r="F47" s="493"/>
      <c r="G47" s="493"/>
      <c r="H47" s="493"/>
      <c r="I47" s="493"/>
      <c r="J47" s="493"/>
      <c r="K47" s="493"/>
      <c r="L47" s="493"/>
      <c r="M47" s="493"/>
      <c r="N47" s="493"/>
      <c r="O47" s="493"/>
      <c r="P47" s="494"/>
      <c r="Q47" s="139"/>
      <c r="R47" s="524"/>
      <c r="S47" s="524"/>
      <c r="T47" s="524"/>
      <c r="U47" s="524"/>
      <c r="V47" s="524"/>
      <c r="W47" s="1"/>
    </row>
    <row r="48" spans="2:23" ht="18" customHeight="1" x14ac:dyDescent="0.3">
      <c r="B48" s="9"/>
      <c r="C48" s="525" t="s">
        <v>65</v>
      </c>
      <c r="D48" s="460" t="s">
        <v>35</v>
      </c>
      <c r="E48" s="461"/>
      <c r="F48" s="85"/>
      <c r="G48" s="526" t="s">
        <v>90</v>
      </c>
      <c r="H48" s="526"/>
      <c r="I48" s="526"/>
      <c r="J48" s="526"/>
      <c r="K48" s="526"/>
      <c r="L48" s="526"/>
      <c r="M48" s="85"/>
      <c r="N48" s="526" t="s">
        <v>111</v>
      </c>
      <c r="O48" s="526"/>
      <c r="P48" s="526"/>
      <c r="Q48" s="139"/>
      <c r="R48" s="524"/>
      <c r="S48" s="524"/>
      <c r="T48" s="524"/>
      <c r="U48" s="524"/>
      <c r="V48" s="524"/>
      <c r="W48" s="1"/>
    </row>
    <row r="49" spans="2:23" ht="9.75" customHeight="1" x14ac:dyDescent="0.4">
      <c r="B49" s="9"/>
      <c r="C49" s="526"/>
      <c r="D49" s="462"/>
      <c r="E49" s="463"/>
      <c r="F49" s="85"/>
      <c r="G49" s="437" t="s">
        <v>37</v>
      </c>
      <c r="H49" s="438"/>
      <c r="I49" s="438"/>
      <c r="J49" s="438"/>
      <c r="K49" s="439"/>
      <c r="L49" s="101" t="s">
        <v>36</v>
      </c>
      <c r="M49" s="102"/>
      <c r="N49" s="527"/>
      <c r="O49" s="527"/>
      <c r="P49" s="527"/>
      <c r="Q49" s="139"/>
      <c r="R49" s="100"/>
      <c r="S49" s="100"/>
      <c r="T49" s="100"/>
      <c r="U49" s="50"/>
      <c r="W49" s="1"/>
    </row>
    <row r="50" spans="2:23" ht="20.25" customHeight="1" x14ac:dyDescent="0.3">
      <c r="B50" s="9"/>
      <c r="C50" s="217" t="str">
        <f>IF(C43="TBD","TBD",IF(C43&lt;&gt;"",(EDATE($D$25,-12)),""))</f>
        <v>TBD</v>
      </c>
      <c r="D50" s="414"/>
      <c r="E50" s="415"/>
      <c r="F50" s="177"/>
      <c r="G50" s="414"/>
      <c r="H50" s="495"/>
      <c r="I50" s="495"/>
      <c r="J50" s="495"/>
      <c r="K50" s="415"/>
      <c r="L50" s="178"/>
      <c r="M50" s="179"/>
      <c r="N50" s="446">
        <f t="shared" ref="N50:N52" si="1">D50-G50</f>
        <v>0</v>
      </c>
      <c r="O50" s="446"/>
      <c r="P50" s="446"/>
      <c r="Q50" s="11"/>
      <c r="R50" s="497"/>
      <c r="S50" s="497"/>
      <c r="T50" s="497"/>
      <c r="U50" s="52"/>
      <c r="W50" s="1"/>
    </row>
    <row r="51" spans="2:23" ht="20.25" customHeight="1" x14ac:dyDescent="0.3">
      <c r="B51" s="9"/>
      <c r="C51" s="217" t="str">
        <f>IF(C50="TBD","TBD",IF(C50&lt;&gt;"",(EDATE($D$25,-13)),""))</f>
        <v>TBD</v>
      </c>
      <c r="D51" s="414"/>
      <c r="E51" s="415"/>
      <c r="F51" s="177"/>
      <c r="G51" s="414"/>
      <c r="H51" s="495"/>
      <c r="I51" s="495"/>
      <c r="J51" s="495"/>
      <c r="K51" s="415"/>
      <c r="L51" s="178"/>
      <c r="M51" s="179"/>
      <c r="N51" s="446">
        <f t="shared" si="1"/>
        <v>0</v>
      </c>
      <c r="O51" s="446"/>
      <c r="P51" s="446"/>
      <c r="Q51" s="11"/>
      <c r="R51" s="497"/>
      <c r="S51" s="497"/>
      <c r="T51" s="497"/>
      <c r="U51" s="52"/>
    </row>
    <row r="52" spans="2:23" ht="20.25" customHeight="1" x14ac:dyDescent="0.3">
      <c r="B52" s="9"/>
      <c r="C52" s="217" t="str">
        <f>IF(C51="TBD","TBD",IF(C51&lt;&gt;"",(EDATE($D$25,-14)),""))</f>
        <v>TBD</v>
      </c>
      <c r="D52" s="414"/>
      <c r="E52" s="415"/>
      <c r="F52" s="177"/>
      <c r="G52" s="414"/>
      <c r="H52" s="495"/>
      <c r="I52" s="495"/>
      <c r="J52" s="495"/>
      <c r="K52" s="415"/>
      <c r="L52" s="178"/>
      <c r="M52" s="179"/>
      <c r="N52" s="446">
        <f t="shared" si="1"/>
        <v>0</v>
      </c>
      <c r="O52" s="446"/>
      <c r="P52" s="446"/>
      <c r="Q52" s="11"/>
      <c r="R52" s="523"/>
      <c r="S52" s="523"/>
      <c r="T52" s="523"/>
      <c r="U52" s="52"/>
    </row>
    <row r="53" spans="2:23" ht="20.25" customHeight="1" x14ac:dyDescent="0.3">
      <c r="B53" s="9"/>
      <c r="C53" s="217" t="str">
        <f>IF(C52="TBD","TBD",IF(C52&lt;&gt;"",(EDATE($D$25,-15)),""))</f>
        <v>TBD</v>
      </c>
      <c r="D53" s="414"/>
      <c r="E53" s="415"/>
      <c r="F53" s="177"/>
      <c r="G53" s="414"/>
      <c r="H53" s="495"/>
      <c r="I53" s="495"/>
      <c r="J53" s="495"/>
      <c r="K53" s="415"/>
      <c r="L53" s="178"/>
      <c r="M53" s="179"/>
      <c r="N53" s="446">
        <f t="shared" ref="N53:N61" si="2">D53-G53</f>
        <v>0</v>
      </c>
      <c r="O53" s="446"/>
      <c r="P53" s="446"/>
      <c r="Q53" s="11"/>
      <c r="R53" s="523"/>
      <c r="S53" s="523"/>
      <c r="T53" s="523"/>
      <c r="U53" s="52"/>
    </row>
    <row r="54" spans="2:23" ht="20.25" customHeight="1" x14ac:dyDescent="0.3">
      <c r="B54" s="9"/>
      <c r="C54" s="217" t="str">
        <f>IF(C53="TBD","TBD",IF(C53&lt;&gt;"",(EDATE($D$25,-16)),""))</f>
        <v>TBD</v>
      </c>
      <c r="D54" s="414"/>
      <c r="E54" s="415"/>
      <c r="F54" s="177"/>
      <c r="G54" s="414"/>
      <c r="H54" s="495"/>
      <c r="I54" s="495"/>
      <c r="J54" s="495"/>
      <c r="K54" s="415"/>
      <c r="L54" s="178"/>
      <c r="M54" s="179"/>
      <c r="N54" s="446">
        <f t="shared" si="2"/>
        <v>0</v>
      </c>
      <c r="O54" s="446"/>
      <c r="P54" s="446"/>
      <c r="Q54" s="11"/>
      <c r="R54" s="523"/>
      <c r="S54" s="523"/>
      <c r="T54" s="523"/>
      <c r="U54" s="52"/>
      <c r="V54" s="1"/>
      <c r="W54" s="1"/>
    </row>
    <row r="55" spans="2:23" ht="20.25" customHeight="1" x14ac:dyDescent="0.3">
      <c r="B55" s="9"/>
      <c r="C55" s="217" t="str">
        <f>IF(C54="TBD","TBD",IF(C54&lt;&gt;"",(EDATE($D$25,-17)),""))</f>
        <v>TBD</v>
      </c>
      <c r="D55" s="414"/>
      <c r="E55" s="415"/>
      <c r="F55" s="177"/>
      <c r="G55" s="414"/>
      <c r="H55" s="495"/>
      <c r="I55" s="495"/>
      <c r="J55" s="495"/>
      <c r="K55" s="415"/>
      <c r="L55" s="178"/>
      <c r="M55" s="179"/>
      <c r="N55" s="446">
        <f t="shared" si="2"/>
        <v>0</v>
      </c>
      <c r="O55" s="446"/>
      <c r="P55" s="446"/>
      <c r="Q55" s="11"/>
      <c r="R55" s="523"/>
      <c r="S55" s="523"/>
      <c r="T55" s="523"/>
      <c r="U55" s="52"/>
      <c r="V55" s="1"/>
      <c r="W55" s="1"/>
    </row>
    <row r="56" spans="2:23" ht="20.25" customHeight="1" x14ac:dyDescent="0.3">
      <c r="B56" s="9"/>
      <c r="C56" s="217" t="str">
        <f>IF(C55="TBD","TBD",IF(C55&lt;&gt;"",(EDATE($D$25,-18)),""))</f>
        <v>TBD</v>
      </c>
      <c r="D56" s="414"/>
      <c r="E56" s="415"/>
      <c r="F56" s="177"/>
      <c r="G56" s="414"/>
      <c r="H56" s="495"/>
      <c r="I56" s="495"/>
      <c r="J56" s="495"/>
      <c r="K56" s="415"/>
      <c r="L56" s="178"/>
      <c r="M56" s="179"/>
      <c r="N56" s="446">
        <f t="shared" si="2"/>
        <v>0</v>
      </c>
      <c r="O56" s="446"/>
      <c r="P56" s="446"/>
      <c r="Q56" s="11"/>
      <c r="R56" s="523"/>
      <c r="S56" s="523"/>
      <c r="T56" s="523"/>
      <c r="U56" s="52"/>
      <c r="V56" s="1"/>
      <c r="W56" s="1"/>
    </row>
    <row r="57" spans="2:23" ht="20.25" customHeight="1" x14ac:dyDescent="0.3">
      <c r="B57" s="9"/>
      <c r="C57" s="217" t="str">
        <f>IF(C56="TBD","TBD",IF(C56&lt;&gt;"",(EDATE($D$25,-19)),""))</f>
        <v>TBD</v>
      </c>
      <c r="D57" s="414"/>
      <c r="E57" s="415"/>
      <c r="F57" s="177"/>
      <c r="G57" s="414"/>
      <c r="H57" s="495"/>
      <c r="I57" s="495"/>
      <c r="J57" s="495"/>
      <c r="K57" s="415"/>
      <c r="L57" s="178"/>
      <c r="M57" s="179"/>
      <c r="N57" s="446">
        <f t="shared" si="2"/>
        <v>0</v>
      </c>
      <c r="O57" s="446"/>
      <c r="P57" s="446"/>
      <c r="Q57" s="11"/>
      <c r="R57" s="523"/>
      <c r="S57" s="523"/>
      <c r="T57" s="523"/>
      <c r="U57" s="52"/>
      <c r="V57" s="1"/>
      <c r="W57" s="1"/>
    </row>
    <row r="58" spans="2:23" ht="20.25" customHeight="1" x14ac:dyDescent="0.3">
      <c r="B58" s="9"/>
      <c r="C58" s="217" t="str">
        <f>IF(C57="TBD","TBD",IF(C57&lt;&gt;"",(EDATE($D$25,-20)),""))</f>
        <v>TBD</v>
      </c>
      <c r="D58" s="414"/>
      <c r="E58" s="415"/>
      <c r="F58" s="177"/>
      <c r="G58" s="414"/>
      <c r="H58" s="495"/>
      <c r="I58" s="495"/>
      <c r="J58" s="495"/>
      <c r="K58" s="415"/>
      <c r="L58" s="178"/>
      <c r="M58" s="179"/>
      <c r="N58" s="446">
        <f t="shared" si="2"/>
        <v>0</v>
      </c>
      <c r="O58" s="446"/>
      <c r="P58" s="446"/>
      <c r="Q58" s="11"/>
      <c r="R58" s="523"/>
      <c r="S58" s="523"/>
      <c r="T58" s="523"/>
      <c r="U58" s="52"/>
      <c r="V58" s="1"/>
      <c r="W58" s="1"/>
    </row>
    <row r="59" spans="2:23" ht="20.25" customHeight="1" x14ac:dyDescent="0.3">
      <c r="B59" s="9"/>
      <c r="C59" s="217" t="str">
        <f>IF(C58="TBD","TBD",IF(C58&lt;&gt;"",(EDATE($D$25,-21)),""))</f>
        <v>TBD</v>
      </c>
      <c r="D59" s="414"/>
      <c r="E59" s="415"/>
      <c r="F59" s="177"/>
      <c r="G59" s="414"/>
      <c r="H59" s="495"/>
      <c r="I59" s="495"/>
      <c r="J59" s="495"/>
      <c r="K59" s="415"/>
      <c r="L59" s="178"/>
      <c r="M59" s="179"/>
      <c r="N59" s="446">
        <f t="shared" si="2"/>
        <v>0</v>
      </c>
      <c r="O59" s="446"/>
      <c r="P59" s="446"/>
      <c r="Q59" s="11"/>
      <c r="R59" s="523"/>
      <c r="S59" s="523"/>
      <c r="T59" s="523"/>
      <c r="U59" s="52"/>
      <c r="V59" s="1"/>
      <c r="W59" s="1"/>
    </row>
    <row r="60" spans="2:23" ht="20.25" customHeight="1" x14ac:dyDescent="0.3">
      <c r="B60" s="9"/>
      <c r="C60" s="217" t="str">
        <f>IF(C59="TBD","TBD",IF(C59&lt;&gt;"",(EDATE($D$25,-22)),""))</f>
        <v>TBD</v>
      </c>
      <c r="D60" s="414"/>
      <c r="E60" s="415"/>
      <c r="F60" s="177"/>
      <c r="G60" s="414"/>
      <c r="H60" s="495"/>
      <c r="I60" s="495"/>
      <c r="J60" s="495"/>
      <c r="K60" s="415"/>
      <c r="L60" s="178"/>
      <c r="M60" s="179"/>
      <c r="N60" s="446">
        <f t="shared" si="2"/>
        <v>0</v>
      </c>
      <c r="O60" s="446"/>
      <c r="P60" s="446"/>
      <c r="Q60" s="11"/>
      <c r="R60" s="523"/>
      <c r="S60" s="523"/>
      <c r="T60" s="523"/>
      <c r="U60" s="52"/>
      <c r="V60" s="1"/>
      <c r="W60" s="1"/>
    </row>
    <row r="61" spans="2:23" ht="20.25" customHeight="1" x14ac:dyDescent="0.3">
      <c r="B61" s="9"/>
      <c r="C61" s="217" t="str">
        <f>IF(C60="TBD","TBD",IF(C60&lt;&gt;"",(EDATE($D$25,-23)),""))</f>
        <v>TBD</v>
      </c>
      <c r="D61" s="414"/>
      <c r="E61" s="415"/>
      <c r="F61" s="177"/>
      <c r="G61" s="414"/>
      <c r="H61" s="495"/>
      <c r="I61" s="495"/>
      <c r="J61" s="495"/>
      <c r="K61" s="415"/>
      <c r="L61" s="178"/>
      <c r="M61" s="179"/>
      <c r="N61" s="446">
        <f t="shared" si="2"/>
        <v>0</v>
      </c>
      <c r="O61" s="446"/>
      <c r="P61" s="446"/>
      <c r="Q61" s="11"/>
      <c r="R61" s="523"/>
      <c r="S61" s="523"/>
      <c r="T61" s="523"/>
      <c r="U61" s="52"/>
      <c r="V61" s="1"/>
      <c r="W61" s="1"/>
    </row>
    <row r="62" spans="2:23" s="74" customFormat="1" ht="21" customHeight="1" x14ac:dyDescent="0.35">
      <c r="B62" s="75"/>
      <c r="C62" s="12" t="s">
        <v>6</v>
      </c>
      <c r="D62" s="447">
        <f>SUM(D50:E61)</f>
        <v>0</v>
      </c>
      <c r="E62" s="447"/>
      <c r="F62" s="38"/>
      <c r="G62" s="174">
        <f>SUM(G50:G61)</f>
        <v>0</v>
      </c>
      <c r="H62" s="174"/>
      <c r="I62" s="174"/>
      <c r="J62" s="174"/>
      <c r="K62" s="174"/>
      <c r="L62" s="38"/>
      <c r="M62" s="12" t="s">
        <v>112</v>
      </c>
      <c r="N62" s="518">
        <f>SUM(N50:N61)</f>
        <v>0</v>
      </c>
      <c r="O62" s="518"/>
      <c r="P62" s="518"/>
      <c r="Q62" s="76"/>
      <c r="R62" s="77"/>
      <c r="S62" s="78"/>
      <c r="T62" s="78"/>
      <c r="U62" s="27"/>
      <c r="V62" s="38"/>
      <c r="W62" s="38"/>
    </row>
    <row r="63" spans="2:23" s="74" customFormat="1" ht="21" customHeight="1" x14ac:dyDescent="0.35">
      <c r="B63" s="75"/>
      <c r="C63" s="12"/>
      <c r="D63" s="282"/>
      <c r="E63" s="109"/>
      <c r="F63" s="38"/>
      <c r="G63" s="174"/>
      <c r="H63" s="174"/>
      <c r="I63" s="174"/>
      <c r="J63" s="174"/>
      <c r="K63" s="174"/>
      <c r="L63" s="38"/>
      <c r="M63" s="12"/>
      <c r="N63" s="173"/>
      <c r="O63" s="173"/>
      <c r="P63" s="173"/>
      <c r="Q63" s="76"/>
      <c r="R63" s="77"/>
      <c r="S63" s="78"/>
      <c r="T63" s="78"/>
      <c r="U63" s="27"/>
      <c r="V63" s="38"/>
      <c r="W63" s="38"/>
    </row>
    <row r="64" spans="2:23" ht="4.5" customHeight="1" x14ac:dyDescent="0.35">
      <c r="B64" s="9"/>
      <c r="C64" s="519" t="str">
        <f>IF(D62="TBD","NOTE: Totals will not populate until all months are entered. If no deposits, enter $0"," ")</f>
        <v xml:space="preserve"> </v>
      </c>
      <c r="D64" s="519"/>
      <c r="E64" s="519"/>
      <c r="F64" s="519"/>
      <c r="G64" s="519"/>
      <c r="H64" s="519"/>
      <c r="I64" s="519"/>
      <c r="J64" s="519"/>
      <c r="K64" s="519"/>
      <c r="L64" s="519"/>
      <c r="M64" s="149"/>
      <c r="N64" s="149"/>
      <c r="O64" s="149"/>
      <c r="P64" s="149"/>
      <c r="Q64" s="11"/>
      <c r="S64" s="104"/>
      <c r="T64" s="104"/>
      <c r="U64" s="13"/>
      <c r="V64" s="1"/>
      <c r="W64" s="1"/>
    </row>
    <row r="65" spans="1:23" ht="18" x14ac:dyDescent="0.35">
      <c r="B65" s="9"/>
      <c r="C65" s="443" t="s">
        <v>112</v>
      </c>
      <c r="D65" s="443"/>
      <c r="E65" s="443"/>
      <c r="F65" s="443"/>
      <c r="G65" s="443"/>
      <c r="H65" s="443"/>
      <c r="I65" s="82"/>
      <c r="J65" s="520">
        <f>N44+N62</f>
        <v>0</v>
      </c>
      <c r="K65" s="521"/>
      <c r="L65" s="522"/>
      <c r="M65" s="1"/>
      <c r="N65" s="1"/>
      <c r="O65" s="1"/>
      <c r="P65" s="1"/>
      <c r="Q65" s="11"/>
      <c r="V65" s="1"/>
      <c r="W65" s="1"/>
    </row>
    <row r="66" spans="1:23" ht="5.25" customHeight="1" x14ac:dyDescent="0.35">
      <c r="B66" s="9"/>
      <c r="C66" s="282"/>
      <c r="D66" s="282"/>
      <c r="E66" s="12"/>
      <c r="F66" s="12"/>
      <c r="G66" s="12"/>
      <c r="H66" s="12"/>
      <c r="I66" s="219"/>
      <c r="J66" s="219"/>
      <c r="K66" s="219"/>
      <c r="L66" s="220"/>
      <c r="M66" s="1"/>
      <c r="N66" s="1"/>
      <c r="O66" s="1"/>
      <c r="P66" s="1"/>
      <c r="Q66" s="11"/>
      <c r="V66" s="1"/>
      <c r="W66" s="1"/>
    </row>
    <row r="67" spans="1:23" ht="16.5" customHeight="1" thickBot="1" x14ac:dyDescent="0.35">
      <c r="B67" s="18"/>
      <c r="C67" s="24"/>
      <c r="D67" s="24"/>
      <c r="E67" s="24"/>
      <c r="F67" s="24"/>
      <c r="G67" s="24"/>
      <c r="H67" s="24"/>
      <c r="I67" s="24"/>
      <c r="J67" s="24"/>
      <c r="K67" s="24"/>
      <c r="L67" s="24"/>
      <c r="M67" s="24"/>
      <c r="N67" s="24"/>
      <c r="O67" s="24"/>
      <c r="P67" s="24"/>
      <c r="Q67" s="19"/>
      <c r="V67" s="1"/>
      <c r="W67" s="1"/>
    </row>
    <row r="68" spans="1:23" ht="8.4" hidden="1" customHeight="1" x14ac:dyDescent="0.3">
      <c r="A68" s="1"/>
      <c r="B68" s="97"/>
      <c r="C68" s="89"/>
      <c r="D68" s="89"/>
      <c r="E68" s="89"/>
      <c r="F68" s="89"/>
      <c r="G68" s="89"/>
      <c r="H68" s="89"/>
      <c r="I68" s="89"/>
      <c r="J68" s="89"/>
      <c r="K68" s="89"/>
      <c r="L68" s="6"/>
      <c r="M68" s="6"/>
      <c r="N68" s="6"/>
      <c r="O68" s="6"/>
      <c r="P68" s="6"/>
      <c r="Q68" s="96"/>
      <c r="R68" s="103"/>
      <c r="S68" s="104"/>
      <c r="T68" s="104"/>
      <c r="U68" s="104"/>
      <c r="V68" s="1"/>
      <c r="W68" s="1"/>
    </row>
    <row r="69" spans="1:23" s="79" customFormat="1" ht="37.5" hidden="1" customHeight="1" x14ac:dyDescent="0.3">
      <c r="A69" s="49"/>
      <c r="B69" s="80"/>
      <c r="C69" s="49"/>
      <c r="D69" s="49"/>
      <c r="E69" s="105" t="s">
        <v>40</v>
      </c>
      <c r="F69" s="489" t="str">
        <f>IF(ISERROR((SUM(E32:E43)+SUM(E50:E61)-SUM(G32:G43)-SUM(G50:G61))/MosReq), "TBD", (SUM(E32:E43)+SUM(E50:E61)-SUM(G32:G43)-SUM(G50:G61))/MosReq)</f>
        <v>TBD</v>
      </c>
      <c r="G69" s="490"/>
      <c r="H69" s="184"/>
      <c r="I69" s="184"/>
      <c r="J69" s="184"/>
      <c r="K69" s="184"/>
      <c r="L69" s="49"/>
      <c r="M69" s="49"/>
      <c r="N69" s="49"/>
      <c r="O69" s="49"/>
      <c r="P69" s="49"/>
      <c r="Q69" s="83"/>
      <c r="R69" s="103"/>
      <c r="S69" s="104"/>
      <c r="T69" s="104"/>
      <c r="U69" s="88"/>
      <c r="V69" s="49"/>
      <c r="W69" s="49"/>
    </row>
    <row r="70" spans="1:23" ht="9" hidden="1" customHeight="1" thickBot="1" x14ac:dyDescent="0.4">
      <c r="A70" s="1"/>
      <c r="B70" s="18"/>
      <c r="C70" s="86"/>
      <c r="D70" s="86"/>
      <c r="E70" s="86"/>
      <c r="F70" s="45"/>
      <c r="G70" s="45"/>
      <c r="H70" s="45"/>
      <c r="I70" s="45"/>
      <c r="J70" s="45"/>
      <c r="K70" s="45"/>
      <c r="L70" s="46"/>
      <c r="M70" s="46"/>
      <c r="N70" s="46"/>
      <c r="O70" s="46"/>
      <c r="P70" s="46"/>
      <c r="Q70" s="47"/>
      <c r="R70" s="17"/>
      <c r="S70" s="6"/>
      <c r="T70" s="6"/>
      <c r="U70" s="6"/>
      <c r="V70" s="1"/>
      <c r="W70" s="1"/>
    </row>
    <row r="71" spans="1:23" ht="27" customHeight="1" thickBot="1" x14ac:dyDescent="0.35">
      <c r="B71" s="509" t="s">
        <v>86</v>
      </c>
      <c r="C71" s="510"/>
      <c r="D71" s="510"/>
      <c r="E71" s="510"/>
      <c r="F71" s="510"/>
      <c r="G71" s="510"/>
      <c r="H71" s="510"/>
      <c r="I71" s="510"/>
      <c r="J71" s="510"/>
      <c r="K71" s="510"/>
      <c r="L71" s="510"/>
      <c r="M71" s="510"/>
      <c r="N71" s="510"/>
      <c r="O71" s="510"/>
      <c r="P71" s="510"/>
      <c r="Q71" s="511"/>
      <c r="R71" s="1"/>
      <c r="S71" s="1"/>
      <c r="T71" s="66"/>
      <c r="U71" s="1"/>
      <c r="V71" s="1"/>
      <c r="W71" s="1"/>
    </row>
    <row r="72" spans="1:23" ht="9" customHeight="1" x14ac:dyDescent="0.3">
      <c r="B72" s="189"/>
      <c r="C72" s="176"/>
      <c r="D72" s="176"/>
      <c r="E72" s="176"/>
      <c r="F72" s="176"/>
      <c r="G72" s="176"/>
      <c r="H72" s="176"/>
      <c r="I72" s="176"/>
      <c r="J72" s="176"/>
      <c r="K72" s="176"/>
      <c r="L72" s="176"/>
      <c r="M72" s="176"/>
      <c r="N72" s="176"/>
      <c r="O72" s="176"/>
      <c r="P72" s="176"/>
      <c r="Q72" s="238"/>
      <c r="R72" s="1"/>
      <c r="S72" s="1"/>
      <c r="T72" s="67"/>
      <c r="U72" s="1"/>
      <c r="V72" s="1"/>
    </row>
    <row r="73" spans="1:23" ht="27" customHeight="1" x14ac:dyDescent="0.3">
      <c r="B73" s="189"/>
      <c r="C73" s="176"/>
      <c r="D73" s="176"/>
      <c r="E73" s="190" t="s">
        <v>66</v>
      </c>
      <c r="F73" s="176"/>
      <c r="G73" s="512"/>
      <c r="H73" s="513"/>
      <c r="I73" s="513"/>
      <c r="J73" s="513"/>
      <c r="K73" s="513"/>
      <c r="L73" s="514"/>
      <c r="M73" s="176"/>
      <c r="N73" s="176"/>
      <c r="O73" s="176"/>
      <c r="P73" s="176"/>
      <c r="Q73" s="196"/>
      <c r="R73" s="1"/>
      <c r="S73" s="1"/>
      <c r="T73" s="67"/>
      <c r="U73" s="1"/>
      <c r="V73" s="1"/>
    </row>
    <row r="74" spans="1:23" ht="16.5" customHeight="1" x14ac:dyDescent="0.3">
      <c r="B74" s="561" t="str">
        <f>IF(D6="","Please fill out FICO in Step 1 to determine if you can use Option 1.",IF(D6&lt;680,"This option has a min FICO of 680 (Core) or 700 (Plus)",""))</f>
        <v>Please fill out FICO in Step 1 to determine if you can use Option 1.</v>
      </c>
      <c r="C74" s="562"/>
      <c r="D74" s="562"/>
      <c r="E74" s="562"/>
      <c r="F74" s="562"/>
      <c r="G74" s="562"/>
      <c r="H74" s="562"/>
      <c r="I74" s="562"/>
      <c r="J74"/>
      <c r="K74"/>
      <c r="L74"/>
      <c r="M74" s="176"/>
      <c r="N74" s="176"/>
      <c r="O74" s="176"/>
      <c r="P74" s="176"/>
      <c r="Q74" s="196"/>
      <c r="R74" s="1"/>
      <c r="S74" s="1"/>
      <c r="T74" s="67"/>
      <c r="U74" s="1"/>
      <c r="V74" s="1"/>
    </row>
    <row r="75" spans="1:23" ht="11.25" customHeight="1" x14ac:dyDescent="0.3">
      <c r="B75" s="430" t="str">
        <f>IF(D8="","Please fill out LTV in Step 1 to determine if you can use Option 1.",IF(D8&gt;75,"This option has a max LTV of 75%",""))</f>
        <v>Please fill out LTV in Step 1 to determine if you can use Option 1.</v>
      </c>
      <c r="C75" s="431"/>
      <c r="D75" s="431"/>
      <c r="E75" s="431"/>
      <c r="F75" s="431"/>
      <c r="G75" s="431"/>
      <c r="H75" s="431"/>
      <c r="I75" s="431"/>
      <c r="J75" s="159"/>
      <c r="K75" s="159"/>
      <c r="L75" s="159"/>
      <c r="M75" s="176"/>
      <c r="N75" s="176"/>
      <c r="O75" s="176"/>
      <c r="P75" s="176"/>
      <c r="Q75" s="196"/>
      <c r="R75" s="1"/>
      <c r="S75" s="1"/>
      <c r="T75" s="66"/>
      <c r="U75" s="1"/>
    </row>
    <row r="76" spans="1:23" ht="54.75" customHeight="1" x14ac:dyDescent="0.3">
      <c r="B76" s="515" t="s">
        <v>128</v>
      </c>
      <c r="C76" s="516"/>
      <c r="D76" s="516"/>
      <c r="E76" s="516"/>
      <c r="F76" s="516"/>
      <c r="G76" s="516"/>
      <c r="H76" s="516"/>
      <c r="I76" s="517"/>
      <c r="K76" s="496" t="s">
        <v>134</v>
      </c>
      <c r="L76" s="496"/>
      <c r="M76" s="496"/>
      <c r="N76" s="496"/>
      <c r="O76" s="496"/>
      <c r="P76" s="496"/>
      <c r="Q76" s="496"/>
      <c r="R76" s="202"/>
      <c r="S76" s="1"/>
      <c r="T76" s="66"/>
      <c r="U76" s="1"/>
    </row>
    <row r="77" spans="1:23" s="66" customFormat="1" ht="5.25" customHeight="1" x14ac:dyDescent="0.3">
      <c r="B77" s="197"/>
      <c r="C77" s="227"/>
      <c r="D77" s="181"/>
      <c r="E77" s="181"/>
      <c r="F77" s="181"/>
      <c r="G77" s="181"/>
      <c r="H77" s="181"/>
      <c r="I77" s="196"/>
      <c r="K77" s="301"/>
      <c r="L77" s="187"/>
      <c r="M77" s="187"/>
      <c r="N77" s="187"/>
      <c r="O77" s="187"/>
      <c r="P77" s="187"/>
      <c r="Q77" s="191"/>
      <c r="R77" s="67"/>
      <c r="S77" s="67"/>
      <c r="U77" s="67"/>
    </row>
    <row r="78" spans="1:23" ht="9.75" customHeight="1" x14ac:dyDescent="0.3">
      <c r="B78" s="189"/>
      <c r="C78" s="246"/>
      <c r="D78" s="246"/>
      <c r="E78" s="246"/>
      <c r="F78" s="246"/>
      <c r="G78" s="246"/>
      <c r="H78" s="246"/>
      <c r="I78" s="196"/>
      <c r="K78" s="302"/>
      <c r="L78" s="245"/>
      <c r="M78" s="245"/>
      <c r="N78" s="245"/>
      <c r="O78" s="245"/>
      <c r="P78" s="245"/>
      <c r="Q78" s="222"/>
      <c r="R78" s="1"/>
      <c r="S78" s="1"/>
      <c r="T78" s="67"/>
      <c r="U78" s="1"/>
    </row>
    <row r="79" spans="1:23" ht="19.5" customHeight="1" x14ac:dyDescent="0.3">
      <c r="B79" s="189"/>
      <c r="C79" s="427" t="s">
        <v>68</v>
      </c>
      <c r="D79" s="428"/>
      <c r="E79" s="419">
        <f>GoodsorServices</f>
        <v>0</v>
      </c>
      <c r="F79" s="420"/>
      <c r="G79" s="420"/>
      <c r="H79" s="421"/>
      <c r="I79" s="196"/>
      <c r="K79" s="302"/>
      <c r="L79" s="458" t="s">
        <v>135</v>
      </c>
      <c r="M79" s="458"/>
      <c r="N79" s="459"/>
      <c r="O79" s="434"/>
      <c r="P79" s="436"/>
      <c r="Q79" s="221"/>
      <c r="R79" s="322"/>
      <c r="S79" s="1"/>
      <c r="T79" s="67"/>
      <c r="U79" s="1"/>
    </row>
    <row r="80" spans="1:23" ht="15.75" customHeight="1" x14ac:dyDescent="0.3">
      <c r="B80" s="189"/>
      <c r="C80" s="1"/>
      <c r="D80" s="1"/>
      <c r="E80" s="176"/>
      <c r="F80" s="1"/>
      <c r="G80" s="1"/>
      <c r="H80" s="1"/>
      <c r="I80" s="196"/>
      <c r="K80" s="302"/>
      <c r="L80" s="429" t="s">
        <v>136</v>
      </c>
      <c r="M80" s="429"/>
      <c r="N80" s="429"/>
      <c r="O80" s="429"/>
      <c r="P80" s="429"/>
      <c r="Q80" s="221"/>
      <c r="R80" s="1"/>
      <c r="S80" s="1"/>
      <c r="T80" s="67"/>
      <c r="U80" s="1"/>
    </row>
    <row r="81" spans="2:23" ht="18" x14ac:dyDescent="0.35">
      <c r="B81" s="189"/>
      <c r="C81" s="426" t="s">
        <v>122</v>
      </c>
      <c r="D81" s="426"/>
      <c r="E81" s="419">
        <f>Employees</f>
        <v>0</v>
      </c>
      <c r="F81" s="420"/>
      <c r="G81" s="420"/>
      <c r="H81" s="421"/>
      <c r="I81" s="208"/>
      <c r="K81" s="302"/>
      <c r="L81" s="306" t="s">
        <v>0</v>
      </c>
      <c r="M81" s="307"/>
      <c r="N81" s="297"/>
      <c r="O81" s="414"/>
      <c r="P81" s="415"/>
      <c r="Q81" s="223"/>
      <c r="R81" s="473" t="str">
        <f>IF(BT="Business",IF(AND(OR('Bank Statements'!M6="Sells Goods", 'Bank Statements'!M6="Both"),OR(O81="", O81&lt;1)),"Your borrower sells goods, please enter COGS to the left!",""),"")</f>
        <v/>
      </c>
      <c r="S81" s="473"/>
      <c r="T81" s="473"/>
      <c r="U81" s="473"/>
      <c r="V81" s="474"/>
      <c r="W81" s="1"/>
    </row>
    <row r="82" spans="2:23" ht="6" customHeight="1" x14ac:dyDescent="0.35">
      <c r="B82" s="189"/>
      <c r="C82" s="426"/>
      <c r="D82" s="426"/>
      <c r="E82" s="176"/>
      <c r="F82" s="295"/>
      <c r="G82" s="295"/>
      <c r="H82" s="295"/>
      <c r="I82" s="208"/>
      <c r="K82" s="302"/>
      <c r="L82" s="308"/>
      <c r="M82" s="306"/>
      <c r="N82" s="283"/>
      <c r="O82" s="185"/>
      <c r="P82" s="290"/>
      <c r="Q82" s="223"/>
      <c r="R82" s="287"/>
      <c r="S82" s="287"/>
      <c r="T82" s="311"/>
      <c r="U82" s="287"/>
      <c r="V82" s="287"/>
      <c r="W82" s="1"/>
    </row>
    <row r="83" spans="2:23" ht="19.5" customHeight="1" x14ac:dyDescent="0.35">
      <c r="B83" s="189"/>
      <c r="C83" s="312" t="s">
        <v>125</v>
      </c>
      <c r="D83" s="313"/>
      <c r="E83" s="422" t="str">
        <f>IFERROR(J65/MosReq,"TBD")</f>
        <v>TBD</v>
      </c>
      <c r="F83" s="423"/>
      <c r="G83" s="423"/>
      <c r="H83" s="424"/>
      <c r="I83" s="198" t="str">
        <f>IF(AND('Bank Statements'!M8="Yes",OR(O83="", O83&lt;1)),"Your borrower has employees, please enter wages to the left!","")</f>
        <v/>
      </c>
      <c r="K83" s="302"/>
      <c r="L83" s="213" t="s">
        <v>1</v>
      </c>
      <c r="M83" s="307"/>
      <c r="N83" s="169"/>
      <c r="O83" s="414"/>
      <c r="P83" s="415"/>
      <c r="Q83" s="223"/>
      <c r="R83" s="563" t="str">
        <f>IF(BT="Business",IF(AND(OR(Employees="1-5",Employees="&gt;5"),O83&lt;1),"Your borrower pays employees/contractors, please enter rent to the left",""),"")</f>
        <v/>
      </c>
      <c r="S83" s="564"/>
      <c r="T83" s="564"/>
      <c r="U83" s="564"/>
      <c r="V83" s="564"/>
    </row>
    <row r="84" spans="2:23" ht="6" customHeight="1" x14ac:dyDescent="0.35">
      <c r="B84" s="189"/>
      <c r="C84" s="286"/>
      <c r="D84" s="286"/>
      <c r="E84" s="176"/>
      <c r="F84" s="1"/>
      <c r="G84" s="1"/>
      <c r="H84" s="1"/>
      <c r="I84" s="198"/>
      <c r="K84" s="302"/>
      <c r="L84" s="308"/>
      <c r="M84" s="213"/>
      <c r="N84" s="285"/>
      <c r="O84" s="185"/>
      <c r="P84" s="290"/>
      <c r="Q84" s="223"/>
      <c r="R84" s="194"/>
      <c r="S84" s="194"/>
      <c r="T84" s="67"/>
      <c r="U84" s="1"/>
    </row>
    <row r="85" spans="2:23" ht="19.5" customHeight="1" x14ac:dyDescent="0.35">
      <c r="B85" s="189"/>
      <c r="C85" s="312" t="s">
        <v>126</v>
      </c>
      <c r="D85" s="313"/>
      <c r="E85" s="406" t="str">
        <f>IFERROR((1-VLOOKUP(E81,Admin!$O$8:$R$10,IF(M6="Offers Services", 2, 3),0))*E83,"TBD")</f>
        <v>TBD</v>
      </c>
      <c r="F85" s="407"/>
      <c r="G85" s="407"/>
      <c r="H85" s="408"/>
      <c r="I85" s="208"/>
      <c r="K85" s="302"/>
      <c r="L85" s="306" t="s">
        <v>34</v>
      </c>
      <c r="M85" s="307"/>
      <c r="N85" s="297"/>
      <c r="O85" s="414"/>
      <c r="P85" s="415"/>
      <c r="Q85" s="223"/>
      <c r="R85" s="195" t="str">
        <f>IF(BT="Business",IF(AND('Bank Statements'!M10="Yes",OR(O85="",O85&lt;1)),"Your borrower leases space, please enter rent to the left",""),"")</f>
        <v/>
      </c>
      <c r="S85" s="195"/>
      <c r="T85" s="67"/>
      <c r="U85" s="1"/>
    </row>
    <row r="86" spans="2:23" ht="4.5" customHeight="1" x14ac:dyDescent="0.35">
      <c r="B86" s="189"/>
      <c r="C86" s="180"/>
      <c r="D86" s="180"/>
      <c r="E86" s="176"/>
      <c r="F86" s="281"/>
      <c r="G86" s="239"/>
      <c r="H86" s="239"/>
      <c r="I86" s="208"/>
      <c r="K86" s="302"/>
      <c r="L86" s="308"/>
      <c r="M86" s="306"/>
      <c r="N86" s="283"/>
      <c r="O86" s="185"/>
      <c r="P86" s="290"/>
      <c r="Q86" s="223"/>
      <c r="R86" s="195"/>
      <c r="S86" s="195"/>
      <c r="T86" s="67"/>
      <c r="U86" s="1"/>
    </row>
    <row r="87" spans="2:23" ht="19.5" customHeight="1" x14ac:dyDescent="0.35">
      <c r="B87" s="189"/>
      <c r="C87" s="391" t="s">
        <v>127</v>
      </c>
      <c r="D87" s="315"/>
      <c r="E87" s="425" t="str">
        <f>IFERROR(E85*Ownership,"TBD")</f>
        <v>TBD</v>
      </c>
      <c r="F87" s="425"/>
      <c r="G87" s="425"/>
      <c r="H87" s="425"/>
      <c r="I87" s="208"/>
      <c r="K87" s="302"/>
      <c r="L87" s="508" t="s">
        <v>43</v>
      </c>
      <c r="M87" s="508"/>
      <c r="N87" s="283"/>
      <c r="O87" s="414"/>
      <c r="P87" s="415"/>
      <c r="Q87" s="223"/>
      <c r="R87" s="195"/>
      <c r="S87" s="195"/>
      <c r="T87" s="67"/>
      <c r="U87" s="1"/>
    </row>
    <row r="88" spans="2:23" ht="6.75" customHeight="1" x14ac:dyDescent="0.35">
      <c r="B88" s="189"/>
      <c r="C88" s="180"/>
      <c r="D88" s="180"/>
      <c r="E88" s="305"/>
      <c r="F88" s="316"/>
      <c r="G88" s="316"/>
      <c r="H88" s="316"/>
      <c r="I88" s="208"/>
      <c r="K88" s="302"/>
      <c r="L88" s="308"/>
      <c r="M88" s="306"/>
      <c r="N88" s="283"/>
      <c r="O88" s="185"/>
      <c r="P88" s="290"/>
      <c r="Q88" s="223"/>
      <c r="R88" s="195"/>
      <c r="S88" s="195"/>
      <c r="T88" s="67"/>
      <c r="U88" s="1"/>
    </row>
    <row r="89" spans="2:23" ht="19.5" customHeight="1" x14ac:dyDescent="0.35">
      <c r="B89" s="189"/>
      <c r="C89" s="410"/>
      <c r="D89" s="411"/>
      <c r="E89" s="409" t="s">
        <v>69</v>
      </c>
      <c r="F89" s="409"/>
      <c r="G89" s="409"/>
      <c r="H89" s="409"/>
      <c r="I89" s="196"/>
      <c r="K89" s="302"/>
      <c r="L89" s="360" t="s">
        <v>123</v>
      </c>
      <c r="M89" s="310"/>
      <c r="N89" s="294"/>
      <c r="O89" s="416"/>
      <c r="P89" s="416"/>
      <c r="Q89" s="223"/>
      <c r="R89" s="1"/>
      <c r="S89" s="1"/>
      <c r="T89" s="67"/>
      <c r="U89" s="1"/>
    </row>
    <row r="90" spans="2:23" ht="3.75" customHeight="1" x14ac:dyDescent="0.35">
      <c r="B90" s="189"/>
      <c r="C90" s="410"/>
      <c r="D90" s="411"/>
      <c r="E90" s="409"/>
      <c r="F90" s="409"/>
      <c r="G90" s="409"/>
      <c r="H90" s="409"/>
      <c r="I90" s="196"/>
      <c r="K90" s="302"/>
      <c r="L90" s="298"/>
      <c r="M90" s="298"/>
      <c r="N90" s="284"/>
      <c r="O90" s="185"/>
      <c r="P90" s="290"/>
      <c r="Q90" s="223"/>
      <c r="R90" s="1"/>
      <c r="S90" s="1"/>
      <c r="T90" s="67"/>
      <c r="U90" s="1"/>
    </row>
    <row r="91" spans="2:23" ht="19.5" customHeight="1" x14ac:dyDescent="0.35">
      <c r="B91" s="189"/>
      <c r="C91" s="410"/>
      <c r="D91" s="411"/>
      <c r="E91" s="472">
        <v>0</v>
      </c>
      <c r="F91" s="472"/>
      <c r="G91" s="469" t="s">
        <v>73</v>
      </c>
      <c r="H91" s="471" t="s">
        <v>160</v>
      </c>
      <c r="I91" s="205"/>
      <c r="K91" s="302"/>
      <c r="L91" s="360" t="s">
        <v>123</v>
      </c>
      <c r="M91" s="298"/>
      <c r="N91" s="294"/>
      <c r="O91" s="416"/>
      <c r="P91" s="416"/>
      <c r="Q91" s="223"/>
      <c r="R91" s="1"/>
      <c r="S91" s="1"/>
      <c r="T91" s="67"/>
      <c r="U91" s="1"/>
    </row>
    <row r="92" spans="2:23" ht="3" customHeight="1" x14ac:dyDescent="0.35">
      <c r="B92" s="189"/>
      <c r="C92" s="412"/>
      <c r="D92" s="413"/>
      <c r="E92" s="409"/>
      <c r="F92" s="409"/>
      <c r="G92" s="470"/>
      <c r="H92" s="472"/>
      <c r="I92" s="205"/>
      <c r="K92" s="302"/>
      <c r="L92" s="298"/>
      <c r="M92" s="298"/>
      <c r="N92" s="294"/>
      <c r="O92" s="185"/>
      <c r="P92" s="290"/>
      <c r="Q92" s="223"/>
      <c r="R92" s="1"/>
      <c r="S92" s="1"/>
      <c r="T92" s="67"/>
      <c r="U92" s="1"/>
    </row>
    <row r="93" spans="2:23" ht="19.5" customHeight="1" x14ac:dyDescent="0.35">
      <c r="B93" s="189"/>
      <c r="C93" s="452" t="s">
        <v>119</v>
      </c>
      <c r="D93" s="453"/>
      <c r="E93" s="468">
        <v>0.2</v>
      </c>
      <c r="F93" s="468"/>
      <c r="G93" s="468">
        <v>0.4</v>
      </c>
      <c r="H93" s="465">
        <v>0.6</v>
      </c>
      <c r="I93" s="196"/>
      <c r="K93" s="302"/>
      <c r="L93" s="360" t="s">
        <v>123</v>
      </c>
      <c r="M93" s="298"/>
      <c r="N93" s="294"/>
      <c r="O93" s="416"/>
      <c r="P93" s="416"/>
      <c r="Q93" s="223"/>
      <c r="R93" s="1"/>
      <c r="S93" s="1"/>
      <c r="T93" s="67"/>
      <c r="U93" s="1"/>
    </row>
    <row r="94" spans="2:23" ht="3" customHeight="1" x14ac:dyDescent="0.35">
      <c r="B94" s="189"/>
      <c r="C94" s="454" t="s">
        <v>121</v>
      </c>
      <c r="D94" s="455"/>
      <c r="E94" s="468"/>
      <c r="F94" s="468"/>
      <c r="G94" s="468"/>
      <c r="H94" s="466"/>
      <c r="I94" s="196"/>
      <c r="K94" s="302"/>
      <c r="L94" s="176"/>
      <c r="M94" s="186"/>
      <c r="N94" s="294"/>
      <c r="O94" s="293"/>
      <c r="P94" s="290"/>
      <c r="Q94" s="223"/>
      <c r="R94" s="1"/>
      <c r="S94" s="1"/>
      <c r="T94" s="67"/>
      <c r="U94" s="1"/>
    </row>
    <row r="95" spans="2:23" ht="19.5" customHeight="1" x14ac:dyDescent="0.35">
      <c r="B95" s="189"/>
      <c r="C95" s="454"/>
      <c r="D95" s="455"/>
      <c r="E95" s="468"/>
      <c r="F95" s="468"/>
      <c r="G95" s="468"/>
      <c r="H95" s="466"/>
      <c r="I95" s="196"/>
      <c r="K95" s="302"/>
      <c r="L95" s="176"/>
      <c r="M95" s="185"/>
      <c r="N95" s="232" t="s">
        <v>7</v>
      </c>
      <c r="O95" s="417">
        <f>SUM(O81:P93)</f>
        <v>0</v>
      </c>
      <c r="P95" s="417"/>
      <c r="Q95" s="223"/>
      <c r="R95" s="1"/>
      <c r="S95" s="1"/>
      <c r="T95" s="67"/>
      <c r="U95" s="1"/>
    </row>
    <row r="96" spans="2:23" ht="4.5" customHeight="1" x14ac:dyDescent="0.35">
      <c r="B96" s="189"/>
      <c r="C96" s="454"/>
      <c r="D96" s="455"/>
      <c r="E96" s="468"/>
      <c r="F96" s="468"/>
      <c r="G96" s="468"/>
      <c r="H96" s="466"/>
      <c r="I96" s="196"/>
      <c r="K96" s="302"/>
      <c r="L96" s="176"/>
      <c r="M96" s="186"/>
      <c r="N96" s="294"/>
      <c r="O96" s="354"/>
      <c r="P96" s="290"/>
      <c r="Q96" s="223"/>
      <c r="R96" s="1"/>
      <c r="S96" s="1"/>
      <c r="T96" s="67"/>
      <c r="U96" s="1"/>
    </row>
    <row r="97" spans="1:21" ht="15" customHeight="1" x14ac:dyDescent="0.3">
      <c r="B97" s="189"/>
      <c r="C97" s="454"/>
      <c r="D97" s="455"/>
      <c r="E97" s="468"/>
      <c r="F97" s="468"/>
      <c r="G97" s="468"/>
      <c r="H97" s="466"/>
      <c r="I97" s="196"/>
      <c r="K97" s="302"/>
      <c r="L97" s="1"/>
      <c r="M97" s="1"/>
      <c r="N97" s="232" t="s">
        <v>26</v>
      </c>
      <c r="O97" s="417">
        <f>O79-O95</f>
        <v>0</v>
      </c>
      <c r="P97" s="417"/>
      <c r="Q97" s="192"/>
      <c r="R97" s="1"/>
      <c r="S97" s="1"/>
      <c r="T97" s="66"/>
      <c r="U97" s="1"/>
    </row>
    <row r="98" spans="1:21" ht="8.25" customHeight="1" x14ac:dyDescent="0.3">
      <c r="B98" s="189"/>
      <c r="C98" s="456"/>
      <c r="D98" s="457"/>
      <c r="E98" s="468"/>
      <c r="F98" s="468"/>
      <c r="G98" s="468"/>
      <c r="H98" s="467"/>
      <c r="I98" s="196"/>
      <c r="K98" s="302"/>
      <c r="L98" s="176"/>
      <c r="M98" s="185"/>
      <c r="N98" s="232"/>
      <c r="O98" s="355"/>
      <c r="P98" s="356"/>
      <c r="Q98" s="192"/>
      <c r="R98" s="1"/>
      <c r="S98" s="1"/>
      <c r="T98" s="66"/>
      <c r="U98" s="1"/>
    </row>
    <row r="99" spans="1:21" ht="15" customHeight="1" x14ac:dyDescent="0.3">
      <c r="B99" s="189"/>
      <c r="C99" s="452" t="s">
        <v>120</v>
      </c>
      <c r="D99" s="453"/>
      <c r="E99" s="468">
        <v>0.4</v>
      </c>
      <c r="F99" s="468"/>
      <c r="G99" s="468">
        <v>0.6</v>
      </c>
      <c r="H99" s="465">
        <v>0.8</v>
      </c>
      <c r="I99" s="196"/>
      <c r="K99" s="302"/>
      <c r="L99" s="176"/>
      <c r="M99" s="185"/>
      <c r="N99" s="232" t="s">
        <v>114</v>
      </c>
      <c r="O99" s="417">
        <f>O97*('Bank Statements'!D10)</f>
        <v>0</v>
      </c>
      <c r="P99" s="417"/>
      <c r="Q99" s="192"/>
      <c r="R99" s="1"/>
      <c r="S99" s="1"/>
      <c r="T99" s="66"/>
      <c r="U99" s="1"/>
    </row>
    <row r="100" spans="1:21" ht="8.25" customHeight="1" x14ac:dyDescent="0.3">
      <c r="B100" s="189"/>
      <c r="C100" s="448" t="s">
        <v>72</v>
      </c>
      <c r="D100" s="449"/>
      <c r="E100" s="468"/>
      <c r="F100" s="468"/>
      <c r="G100" s="468"/>
      <c r="H100" s="466"/>
      <c r="I100" s="196"/>
      <c r="K100" s="302"/>
      <c r="L100" s="176"/>
      <c r="M100" s="185"/>
      <c r="N100" s="188"/>
      <c r="O100" s="185"/>
      <c r="P100" s="244"/>
      <c r="Q100" s="192"/>
      <c r="R100" s="1"/>
      <c r="S100" s="1"/>
      <c r="T100" s="66"/>
      <c r="U100" s="1"/>
    </row>
    <row r="101" spans="1:21" ht="15" customHeight="1" x14ac:dyDescent="0.3">
      <c r="A101" s="156"/>
      <c r="B101" s="189"/>
      <c r="C101" s="448"/>
      <c r="D101" s="449"/>
      <c r="E101" s="468"/>
      <c r="F101" s="468"/>
      <c r="G101" s="468"/>
      <c r="H101" s="466"/>
      <c r="I101" s="196"/>
      <c r="K101" s="302"/>
      <c r="L101" s="288"/>
      <c r="M101" s="1"/>
      <c r="N101" s="248" t="s">
        <v>59</v>
      </c>
      <c r="O101" s="418" t="str">
        <f>IFERROR(O99/MosReq,"TBD")</f>
        <v>TBD</v>
      </c>
      <c r="P101" s="418"/>
      <c r="Q101" s="192"/>
      <c r="R101" s="1"/>
      <c r="S101" s="1"/>
      <c r="T101" s="66"/>
      <c r="U101" s="1"/>
    </row>
    <row r="102" spans="1:21" ht="8.25" customHeight="1" x14ac:dyDescent="0.3">
      <c r="B102" s="189"/>
      <c r="C102" s="450"/>
      <c r="D102" s="451"/>
      <c r="E102" s="468"/>
      <c r="F102" s="468"/>
      <c r="G102" s="468"/>
      <c r="H102" s="467"/>
      <c r="I102" s="196"/>
      <c r="K102" s="302"/>
      <c r="L102" s="176"/>
      <c r="M102" s="185"/>
      <c r="N102" s="188"/>
      <c r="O102" s="185"/>
      <c r="P102" s="300"/>
      <c r="Q102" s="192"/>
      <c r="R102" s="1"/>
      <c r="S102" s="1"/>
      <c r="T102" s="66"/>
      <c r="U102" s="1"/>
    </row>
    <row r="103" spans="1:21" ht="31.5" customHeight="1" x14ac:dyDescent="0.3">
      <c r="B103" s="189"/>
      <c r="C103" s="291"/>
      <c r="D103" s="291"/>
      <c r="E103" s="291"/>
      <c r="F103" s="292"/>
      <c r="G103" s="292"/>
      <c r="H103" s="292"/>
      <c r="I103" s="196"/>
      <c r="K103" s="302"/>
      <c r="L103" s="444" t="str">
        <f>"Requirement: Gross Income ("&amp;DOLLAR(O79,0)&amp;") within 10% 
of Total Net Deposits("&amp;DOLLAR(J65,0)&amp;"):"</f>
        <v>Requirement: Gross Income ($0) within 10% 
of Total Net Deposits($0):</v>
      </c>
      <c r="M103" s="444"/>
      <c r="N103" s="445"/>
      <c r="O103" s="432" t="str">
        <f>IF(O79="","Please fill out Gross Income!",IF(BT="Business",IFERROR(IF((ABS(O79-J65))/(MAX(O79,J65))&lt;=10%,"YES","NO"),"TBD"),"Please change to Business loan"))</f>
        <v>Please fill out Gross Income!</v>
      </c>
      <c r="P103" s="433"/>
      <c r="Q103" s="224"/>
      <c r="R103" s="353" t="str">
        <f>IF(BT="Business",IF(O103="NO","You exceeded 10%, please contact your Scenario Desk",""),"")</f>
        <v/>
      </c>
      <c r="S103" s="1"/>
      <c r="T103" s="66"/>
      <c r="U103" s="1"/>
    </row>
    <row r="104" spans="1:21" ht="11.25" customHeight="1" x14ac:dyDescent="0.3">
      <c r="B104" s="189"/>
      <c r="C104" s="200"/>
      <c r="D104" s="200"/>
      <c r="E104" s="200"/>
      <c r="F104" s="200"/>
      <c r="G104" s="200"/>
      <c r="H104" s="200"/>
      <c r="I104" s="196"/>
      <c r="K104" s="302"/>
      <c r="L104" s="176"/>
      <c r="M104" s="185"/>
      <c r="N104" s="185"/>
      <c r="O104" s="185"/>
      <c r="P104" s="118"/>
      <c r="Q104" s="193"/>
      <c r="R104" s="1"/>
      <c r="S104" s="1"/>
      <c r="T104" s="66"/>
      <c r="U104" s="1"/>
    </row>
    <row r="105" spans="1:21" ht="15" customHeight="1" x14ac:dyDescent="0.3">
      <c r="B105" s="189"/>
      <c r="C105" s="440" t="s">
        <v>100</v>
      </c>
      <c r="D105" s="441"/>
      <c r="E105" s="441"/>
      <c r="F105" s="441"/>
      <c r="G105" s="441"/>
      <c r="H105" s="442"/>
      <c r="I105" s="196"/>
      <c r="K105" s="302"/>
      <c r="L105" s="440" t="s">
        <v>100</v>
      </c>
      <c r="M105" s="441"/>
      <c r="N105" s="441"/>
      <c r="O105" s="441"/>
      <c r="P105" s="442"/>
      <c r="Q105" s="193"/>
      <c r="R105" s="1"/>
      <c r="S105" s="1"/>
      <c r="T105" s="66"/>
      <c r="U105" s="1"/>
    </row>
    <row r="106" spans="1:21" s="66" customFormat="1" ht="9.75" customHeight="1" x14ac:dyDescent="0.3">
      <c r="B106" s="197"/>
      <c r="C106" s="252"/>
      <c r="D106" s="252"/>
      <c r="E106" s="252"/>
      <c r="F106" s="252"/>
      <c r="G106" s="252"/>
      <c r="H106" s="252"/>
      <c r="I106" s="196"/>
      <c r="K106" s="301"/>
      <c r="L106" s="181"/>
      <c r="M106" s="252"/>
      <c r="N106" s="252"/>
      <c r="O106" s="252"/>
      <c r="P106" s="252"/>
      <c r="Q106" s="192"/>
      <c r="R106" s="67"/>
      <c r="S106" s="67"/>
      <c r="U106" s="67"/>
    </row>
    <row r="107" spans="1:21" ht="15" customHeight="1" x14ac:dyDescent="0.3">
      <c r="B107" s="189"/>
      <c r="C107" s="251" t="s">
        <v>101</v>
      </c>
      <c r="D107" s="251"/>
      <c r="E107" s="180"/>
      <c r="F107" s="190"/>
      <c r="G107" s="190"/>
      <c r="H107" s="190"/>
      <c r="I107" s="196"/>
      <c r="K107" s="302"/>
      <c r="L107" s="251" t="s">
        <v>101</v>
      </c>
      <c r="M107" s="188"/>
      <c r="N107" s="188"/>
      <c r="O107" s="185"/>
      <c r="P107" s="118"/>
      <c r="Q107" s="193"/>
      <c r="R107" s="1"/>
      <c r="S107" s="1"/>
      <c r="T107" s="66"/>
      <c r="U107" s="1"/>
    </row>
    <row r="108" spans="1:21" ht="18" customHeight="1" x14ac:dyDescent="0.3">
      <c r="B108" s="189"/>
      <c r="C108" s="249" t="s">
        <v>99</v>
      </c>
      <c r="D108" s="249"/>
      <c r="E108" s="157"/>
      <c r="F108" s="434"/>
      <c r="G108" s="435"/>
      <c r="H108" s="436"/>
      <c r="I108" s="196"/>
      <c r="K108" s="302"/>
      <c r="L108" s="395" t="s">
        <v>99</v>
      </c>
      <c r="M108" s="395"/>
      <c r="N108" s="396"/>
      <c r="O108" s="464"/>
      <c r="P108" s="464"/>
      <c r="Q108" s="193"/>
      <c r="R108" s="1"/>
      <c r="S108" s="1"/>
      <c r="T108" s="66"/>
      <c r="U108" s="1"/>
    </row>
    <row r="109" spans="1:21" ht="4.5" customHeight="1" x14ac:dyDescent="0.3">
      <c r="B109" s="189"/>
      <c r="C109" s="250"/>
      <c r="D109" s="250"/>
      <c r="E109" s="247"/>
      <c r="F109" s="190"/>
      <c r="G109" s="190"/>
      <c r="H109" s="190"/>
      <c r="I109" s="196"/>
      <c r="K109" s="302"/>
      <c r="L109" s="180"/>
      <c r="M109" s="247"/>
      <c r="N109" s="248"/>
      <c r="O109" s="176"/>
      <c r="P109" s="225"/>
      <c r="Q109" s="193"/>
      <c r="R109" s="1"/>
      <c r="S109" s="1"/>
      <c r="T109" s="66"/>
      <c r="U109" s="1"/>
    </row>
    <row r="110" spans="1:21" ht="29.25" customHeight="1" x14ac:dyDescent="0.3">
      <c r="B110" s="189"/>
      <c r="C110" s="479" t="s">
        <v>124</v>
      </c>
      <c r="D110" s="479"/>
      <c r="E110" s="480"/>
      <c r="F110" s="481" t="str">
        <f>E87</f>
        <v>TBD</v>
      </c>
      <c r="G110" s="482"/>
      <c r="H110" s="483"/>
      <c r="I110" s="196"/>
      <c r="K110" s="302"/>
      <c r="L110" s="395" t="str">
        <f>IF(BT="Personal","(B)Average Monthly Deposits:","(B) Monthly Net Income from P&amp;L/ES (above):")</f>
        <v>(B) Monthly Net Income from P&amp;L/ES (above):</v>
      </c>
      <c r="M110" s="395"/>
      <c r="N110" s="396"/>
      <c r="O110" s="477" t="str">
        <f>IF(BT="Personal",(J65/MosReq),O101)</f>
        <v>TBD</v>
      </c>
      <c r="P110" s="478"/>
      <c r="Q110" s="193"/>
      <c r="R110" s="1"/>
      <c r="S110" s="1"/>
      <c r="T110" s="66"/>
      <c r="U110" s="1"/>
    </row>
    <row r="111" spans="1:21" ht="4.5" customHeight="1" x14ac:dyDescent="0.3">
      <c r="B111" s="189"/>
      <c r="C111" s="176"/>
      <c r="D111" s="176"/>
      <c r="E111" s="176"/>
      <c r="F111" s="190"/>
      <c r="G111" s="190"/>
      <c r="H111" s="190"/>
      <c r="I111" s="196"/>
      <c r="K111" s="302"/>
      <c r="L111" s="176"/>
      <c r="M111" s="185"/>
      <c r="N111" s="185"/>
      <c r="O111" s="176"/>
      <c r="P111" s="225"/>
      <c r="Q111" s="193"/>
      <c r="R111" s="1"/>
      <c r="S111" s="1"/>
      <c r="T111" s="66"/>
      <c r="U111" s="1"/>
    </row>
    <row r="112" spans="1:21" ht="32.25" customHeight="1" x14ac:dyDescent="0.3">
      <c r="B112" s="189"/>
      <c r="D112" s="352"/>
      <c r="E112" s="352" t="s">
        <v>67</v>
      </c>
      <c r="F112" s="486" t="str">
        <f>IF(F108=0,"Please enter 1003 Income",IF(F110=0,"TBD",MIN(F108,F110)))</f>
        <v>Please enter 1003 Income</v>
      </c>
      <c r="G112" s="487"/>
      <c r="H112" s="488"/>
      <c r="I112" s="196"/>
      <c r="K112" s="302"/>
      <c r="L112" s="176"/>
      <c r="M112" s="185"/>
      <c r="N112" s="352" t="s">
        <v>67</v>
      </c>
      <c r="O112" s="484" t="str">
        <f>IF(O108=0,"Please enter 1003 Income",IF(O110=0,"TBD",MIN(O108,O110)))</f>
        <v>Please enter 1003 Income</v>
      </c>
      <c r="P112" s="485"/>
      <c r="Q112" s="193"/>
      <c r="R112" s="1"/>
      <c r="S112" s="1"/>
      <c r="T112" s="66"/>
      <c r="U112" s="1"/>
    </row>
    <row r="113" spans="1:22" ht="15" customHeight="1" x14ac:dyDescent="0.3">
      <c r="B113" s="189"/>
      <c r="C113" s="176"/>
      <c r="D113" s="176"/>
      <c r="E113" s="176"/>
      <c r="F113" s="176"/>
      <c r="G113" s="176"/>
      <c r="H113" s="176"/>
      <c r="I113" s="196"/>
      <c r="K113" s="302"/>
      <c r="L113" s="176"/>
      <c r="M113" s="185"/>
      <c r="N113" s="185"/>
      <c r="O113" s="185"/>
      <c r="P113" s="118"/>
      <c r="Q113" s="193"/>
      <c r="R113" s="1"/>
      <c r="S113" s="1"/>
      <c r="T113" s="66"/>
      <c r="U113" s="1"/>
    </row>
    <row r="114" spans="1:22" ht="15" customHeight="1" x14ac:dyDescent="0.3">
      <c r="B114" s="189"/>
      <c r="C114" s="176"/>
      <c r="D114" s="176"/>
      <c r="E114" s="176"/>
      <c r="F114" s="176"/>
      <c r="G114" s="176"/>
      <c r="H114" s="176"/>
      <c r="I114" s="196"/>
      <c r="K114" s="303"/>
      <c r="L114" s="200"/>
      <c r="M114" s="203"/>
      <c r="N114" s="203"/>
      <c r="O114" s="203"/>
      <c r="P114" s="207"/>
      <c r="Q114" s="304"/>
      <c r="R114" s="1"/>
      <c r="S114" s="1"/>
      <c r="T114" s="66"/>
      <c r="U114" s="1"/>
    </row>
    <row r="115" spans="1:22" x14ac:dyDescent="0.3">
      <c r="B115" s="278"/>
      <c r="C115" s="279"/>
      <c r="D115" s="279"/>
      <c r="E115" s="279"/>
      <c r="F115" s="44"/>
      <c r="G115" s="44"/>
      <c r="H115" s="44"/>
      <c r="I115" s="44"/>
      <c r="J115" s="1"/>
      <c r="K115" s="1"/>
      <c r="L115" s="1"/>
      <c r="M115" s="1"/>
      <c r="N115" s="1"/>
      <c r="O115" s="1"/>
      <c r="P115" s="1"/>
      <c r="Q115" s="208"/>
    </row>
    <row r="116" spans="1:22" ht="26.25" customHeight="1" x14ac:dyDescent="0.3">
      <c r="A116" s="1"/>
      <c r="B116" s="499" t="str">
        <f>IF(BT="Business","REQUIRED: Please describe the business and comment why the expense ratio is deemed reasonable:","REQUIRED: Please describe the business")</f>
        <v>REQUIRED: Please describe the business</v>
      </c>
      <c r="C116" s="500"/>
      <c r="D116" s="500"/>
      <c r="E116" s="500"/>
      <c r="F116" s="500"/>
      <c r="G116" s="500"/>
      <c r="H116" s="500"/>
      <c r="I116" s="500"/>
      <c r="J116" s="500"/>
      <c r="K116" s="500"/>
      <c r="L116" s="500"/>
      <c r="M116" s="500"/>
      <c r="N116" s="500"/>
      <c r="O116" s="500"/>
      <c r="P116" s="500"/>
      <c r="Q116" s="501"/>
      <c r="R116" s="1"/>
      <c r="S116" s="1"/>
      <c r="T116" s="66"/>
      <c r="U116" s="1"/>
    </row>
    <row r="117" spans="1:22" ht="27" customHeight="1" x14ac:dyDescent="0.3">
      <c r="A117" s="1"/>
      <c r="B117" s="204"/>
      <c r="C117" s="502" t="s">
        <v>115</v>
      </c>
      <c r="D117" s="503"/>
      <c r="E117" s="503"/>
      <c r="F117" s="503"/>
      <c r="G117" s="503"/>
      <c r="H117" s="503"/>
      <c r="I117" s="503"/>
      <c r="J117" s="503"/>
      <c r="K117" s="503"/>
      <c r="L117" s="503"/>
      <c r="M117" s="503"/>
      <c r="N117" s="503"/>
      <c r="O117" s="503"/>
      <c r="P117" s="504"/>
      <c r="Q117" s="196"/>
      <c r="R117" s="1"/>
      <c r="S117" s="1"/>
      <c r="T117" s="66"/>
      <c r="U117" s="1"/>
    </row>
    <row r="118" spans="1:22" ht="27" customHeight="1" x14ac:dyDescent="0.3">
      <c r="A118" s="1"/>
      <c r="B118" s="204"/>
      <c r="C118" s="505"/>
      <c r="D118" s="506"/>
      <c r="E118" s="506"/>
      <c r="F118" s="506"/>
      <c r="G118" s="506"/>
      <c r="H118" s="506"/>
      <c r="I118" s="506"/>
      <c r="J118" s="506"/>
      <c r="K118" s="506"/>
      <c r="L118" s="506"/>
      <c r="M118" s="506"/>
      <c r="N118" s="506"/>
      <c r="O118" s="506"/>
      <c r="P118" s="507"/>
      <c r="Q118" s="196"/>
      <c r="R118" s="1"/>
      <c r="S118" s="1"/>
      <c r="T118" s="66"/>
      <c r="U118" s="1"/>
    </row>
    <row r="119" spans="1:22" ht="15.75" customHeight="1" x14ac:dyDescent="0.3">
      <c r="A119" s="1"/>
      <c r="B119" s="204"/>
      <c r="C119" s="277"/>
      <c r="D119" s="277"/>
      <c r="E119" s="277"/>
      <c r="F119" s="277"/>
      <c r="G119" s="276"/>
      <c r="H119" s="276"/>
      <c r="I119" s="276"/>
      <c r="J119" s="276"/>
      <c r="K119" s="276"/>
      <c r="L119" s="276"/>
      <c r="M119" s="276"/>
      <c r="N119" s="276"/>
      <c r="O119" s="276"/>
      <c r="P119" s="276"/>
      <c r="Q119" s="196"/>
      <c r="R119" s="1"/>
      <c r="S119" s="1"/>
      <c r="T119" s="66"/>
      <c r="U119" s="1"/>
    </row>
    <row r="120" spans="1:22" ht="30.75" customHeight="1" thickBot="1" x14ac:dyDescent="0.4">
      <c r="B120" s="189"/>
      <c r="C120" s="476" t="s">
        <v>54</v>
      </c>
      <c r="D120" s="476"/>
      <c r="E120" s="476"/>
      <c r="F120" s="476"/>
      <c r="G120" s="475"/>
      <c r="H120" s="475"/>
      <c r="I120" s="475"/>
      <c r="J120" s="475"/>
      <c r="K120" s="475"/>
      <c r="L120" s="475"/>
      <c r="M120" s="475"/>
      <c r="N120" s="475"/>
      <c r="O120" s="176"/>
      <c r="P120" s="176"/>
      <c r="Q120" s="196"/>
      <c r="R120" s="1"/>
      <c r="S120" s="1"/>
      <c r="T120" s="66"/>
      <c r="U120" s="1"/>
    </row>
    <row r="121" spans="1:22" ht="15" customHeight="1" x14ac:dyDescent="0.35">
      <c r="B121" s="199"/>
      <c r="C121" s="280"/>
      <c r="D121" s="280"/>
      <c r="E121" s="280"/>
      <c r="F121" s="280"/>
      <c r="G121" s="218"/>
      <c r="H121" s="218"/>
      <c r="I121" s="218"/>
      <c r="J121" s="218"/>
      <c r="K121" s="218"/>
      <c r="L121" s="218"/>
      <c r="M121" s="218"/>
      <c r="N121" s="218"/>
      <c r="O121" s="200"/>
      <c r="P121" s="200"/>
      <c r="Q121" s="201"/>
      <c r="R121" s="1"/>
      <c r="S121" s="1"/>
      <c r="T121" s="66"/>
      <c r="U121" s="1"/>
    </row>
    <row r="122" spans="1:22" ht="15" customHeight="1" x14ac:dyDescent="0.3">
      <c r="B122" s="498" t="s">
        <v>88</v>
      </c>
      <c r="C122" s="498"/>
      <c r="D122" s="498"/>
      <c r="E122" s="498"/>
      <c r="F122" s="498"/>
      <c r="G122" s="498"/>
      <c r="H122" s="498"/>
      <c r="I122" s="498"/>
      <c r="J122" s="498"/>
      <c r="K122" s="498"/>
      <c r="L122" s="498"/>
      <c r="M122" s="498"/>
      <c r="N122" s="498"/>
      <c r="O122" s="498"/>
      <c r="P122" s="498"/>
      <c r="Q122" s="498"/>
      <c r="R122" s="206"/>
      <c r="S122" s="206"/>
      <c r="T122" s="206"/>
      <c r="U122" s="206"/>
      <c r="V122" s="206"/>
    </row>
    <row r="123" spans="1:22" ht="136.5" customHeight="1" x14ac:dyDescent="0.3">
      <c r="B123" s="498"/>
      <c r="C123" s="498"/>
      <c r="D123" s="498"/>
      <c r="E123" s="498"/>
      <c r="F123" s="498"/>
      <c r="G123" s="498"/>
      <c r="H123" s="498"/>
      <c r="I123" s="498"/>
      <c r="J123" s="498"/>
      <c r="K123" s="498"/>
      <c r="L123" s="498"/>
      <c r="M123" s="498"/>
      <c r="N123" s="498"/>
      <c r="O123" s="498"/>
      <c r="P123" s="498"/>
      <c r="Q123" s="498"/>
      <c r="R123" s="206"/>
      <c r="S123" s="206"/>
      <c r="T123" s="206"/>
      <c r="U123" s="206"/>
      <c r="V123" s="206"/>
    </row>
  </sheetData>
  <sheetProtection selectLockedCells="1"/>
  <mergeCells count="209">
    <mergeCell ref="B74:I74"/>
    <mergeCell ref="R83:V83"/>
    <mergeCell ref="N11:Q12"/>
    <mergeCell ref="B1:G1"/>
    <mergeCell ref="B2:Q2"/>
    <mergeCell ref="B4:C4"/>
    <mergeCell ref="M4:P4"/>
    <mergeCell ref="M8:P8"/>
    <mergeCell ref="B19:Q19"/>
    <mergeCell ref="B21:C21"/>
    <mergeCell ref="I21:L21"/>
    <mergeCell ref="N21:P21"/>
    <mergeCell ref="J4:L4"/>
    <mergeCell ref="D4:G4"/>
    <mergeCell ref="D6:G6"/>
    <mergeCell ref="D8:G8"/>
    <mergeCell ref="D11:H11"/>
    <mergeCell ref="J6:L6"/>
    <mergeCell ref="M10:P10"/>
    <mergeCell ref="B12:I12"/>
    <mergeCell ref="B13:C13"/>
    <mergeCell ref="C14:I15"/>
    <mergeCell ref="C16:I16"/>
    <mergeCell ref="B10:C11"/>
    <mergeCell ref="B8:C8"/>
    <mergeCell ref="M6:P6"/>
    <mergeCell ref="B6:C7"/>
    <mergeCell ref="J8:L8"/>
    <mergeCell ref="J10:L11"/>
    <mergeCell ref="D10:G10"/>
    <mergeCell ref="J12:L12"/>
    <mergeCell ref="J14:L14"/>
    <mergeCell ref="J16:L16"/>
    <mergeCell ref="M13:Q17"/>
    <mergeCell ref="B23:C23"/>
    <mergeCell ref="I23:L23"/>
    <mergeCell ref="N23:P23"/>
    <mergeCell ref="B25:C25"/>
    <mergeCell ref="I25:L25"/>
    <mergeCell ref="N25:P25"/>
    <mergeCell ref="R25:V26"/>
    <mergeCell ref="R21:V21"/>
    <mergeCell ref="R23:W23"/>
    <mergeCell ref="R34:T36"/>
    <mergeCell ref="N35:P35"/>
    <mergeCell ref="N36:P36"/>
    <mergeCell ref="G27:L27"/>
    <mergeCell ref="C28:P28"/>
    <mergeCell ref="C29:P29"/>
    <mergeCell ref="R29:T33"/>
    <mergeCell ref="C30:C31"/>
    <mergeCell ref="G30:L30"/>
    <mergeCell ref="N30:P31"/>
    <mergeCell ref="N32:P32"/>
    <mergeCell ref="N33:P33"/>
    <mergeCell ref="N34:P34"/>
    <mergeCell ref="N41:P41"/>
    <mergeCell ref="N42:P42"/>
    <mergeCell ref="N43:P43"/>
    <mergeCell ref="N44:P44"/>
    <mergeCell ref="R38:S43"/>
    <mergeCell ref="N39:P39"/>
    <mergeCell ref="N40:P40"/>
    <mergeCell ref="D48:E49"/>
    <mergeCell ref="D44:E44"/>
    <mergeCell ref="G41:K41"/>
    <mergeCell ref="G40:K40"/>
    <mergeCell ref="G39:K39"/>
    <mergeCell ref="G38:K38"/>
    <mergeCell ref="N51:P51"/>
    <mergeCell ref="N52:P52"/>
    <mergeCell ref="R52:T61"/>
    <mergeCell ref="N53:P53"/>
    <mergeCell ref="G56:K56"/>
    <mergeCell ref="G55:K55"/>
    <mergeCell ref="G54:K54"/>
    <mergeCell ref="R47:V48"/>
    <mergeCell ref="C48:C49"/>
    <mergeCell ref="G48:L48"/>
    <mergeCell ref="N48:P49"/>
    <mergeCell ref="N37:P37"/>
    <mergeCell ref="N38:P38"/>
    <mergeCell ref="G53:K53"/>
    <mergeCell ref="G52:K52"/>
    <mergeCell ref="G51:K51"/>
    <mergeCell ref="G50:K50"/>
    <mergeCell ref="G49:K49"/>
    <mergeCell ref="B122:Q123"/>
    <mergeCell ref="O79:P79"/>
    <mergeCell ref="B116:Q116"/>
    <mergeCell ref="C105:H105"/>
    <mergeCell ref="C117:P118"/>
    <mergeCell ref="L87:M87"/>
    <mergeCell ref="B71:Q71"/>
    <mergeCell ref="G73:L73"/>
    <mergeCell ref="B76:I76"/>
    <mergeCell ref="N60:P60"/>
    <mergeCell ref="N61:P61"/>
    <mergeCell ref="N62:P62"/>
    <mergeCell ref="C64:L64"/>
    <mergeCell ref="N57:P57"/>
    <mergeCell ref="N58:P58"/>
    <mergeCell ref="N59:P59"/>
    <mergeCell ref="J65:L65"/>
    <mergeCell ref="C93:D93"/>
    <mergeCell ref="R81:V81"/>
    <mergeCell ref="G120:N120"/>
    <mergeCell ref="C120:F120"/>
    <mergeCell ref="L44:M44"/>
    <mergeCell ref="O108:P108"/>
    <mergeCell ref="F108:H108"/>
    <mergeCell ref="O110:P110"/>
    <mergeCell ref="C110:E110"/>
    <mergeCell ref="F110:H110"/>
    <mergeCell ref="O112:P112"/>
    <mergeCell ref="F112:H112"/>
    <mergeCell ref="F69:G69"/>
    <mergeCell ref="C45:L45"/>
    <mergeCell ref="C47:P47"/>
    <mergeCell ref="G61:K61"/>
    <mergeCell ref="G60:K60"/>
    <mergeCell ref="G59:K59"/>
    <mergeCell ref="G58:K58"/>
    <mergeCell ref="G57:K57"/>
    <mergeCell ref="K76:Q76"/>
    <mergeCell ref="N54:P54"/>
    <mergeCell ref="N55:P55"/>
    <mergeCell ref="R50:T51"/>
    <mergeCell ref="H93:H98"/>
    <mergeCell ref="G93:G98"/>
    <mergeCell ref="G99:G102"/>
    <mergeCell ref="H99:H102"/>
    <mergeCell ref="G91:G92"/>
    <mergeCell ref="H91:H92"/>
    <mergeCell ref="E91:F92"/>
    <mergeCell ref="E93:F98"/>
    <mergeCell ref="E99:F102"/>
    <mergeCell ref="D62:E62"/>
    <mergeCell ref="C100:D102"/>
    <mergeCell ref="C99:D99"/>
    <mergeCell ref="C94:D98"/>
    <mergeCell ref="L79:N79"/>
    <mergeCell ref="D30:E31"/>
    <mergeCell ref="D43:E43"/>
    <mergeCell ref="D42:E42"/>
    <mergeCell ref="D41:E41"/>
    <mergeCell ref="D40:E40"/>
    <mergeCell ref="D39:E39"/>
    <mergeCell ref="D38:E38"/>
    <mergeCell ref="D37:E37"/>
    <mergeCell ref="D36:E36"/>
    <mergeCell ref="D35:E35"/>
    <mergeCell ref="D34:E34"/>
    <mergeCell ref="D33:E33"/>
    <mergeCell ref="D32:E32"/>
    <mergeCell ref="D61:E61"/>
    <mergeCell ref="D60:E60"/>
    <mergeCell ref="D59:E59"/>
    <mergeCell ref="D58:E58"/>
    <mergeCell ref="G43:K43"/>
    <mergeCell ref="G42:K42"/>
    <mergeCell ref="G37:K37"/>
    <mergeCell ref="G36:K36"/>
    <mergeCell ref="G35:K35"/>
    <mergeCell ref="G34:K34"/>
    <mergeCell ref="G33:K33"/>
    <mergeCell ref="G32:K32"/>
    <mergeCell ref="G31:K31"/>
    <mergeCell ref="L105:P105"/>
    <mergeCell ref="L108:N108"/>
    <mergeCell ref="C65:H65"/>
    <mergeCell ref="L103:N103"/>
    <mergeCell ref="O81:P81"/>
    <mergeCell ref="O83:P83"/>
    <mergeCell ref="O85:P85"/>
    <mergeCell ref="D55:E55"/>
    <mergeCell ref="D54:E54"/>
    <mergeCell ref="D53:E53"/>
    <mergeCell ref="D52:E52"/>
    <mergeCell ref="D51:E51"/>
    <mergeCell ref="D50:E50"/>
    <mergeCell ref="D57:E57"/>
    <mergeCell ref="D56:E56"/>
    <mergeCell ref="N56:P56"/>
    <mergeCell ref="N50:P50"/>
    <mergeCell ref="L110:N110"/>
    <mergeCell ref="D21:G21"/>
    <mergeCell ref="D23:G23"/>
    <mergeCell ref="D25:G25"/>
    <mergeCell ref="E85:H85"/>
    <mergeCell ref="E89:H90"/>
    <mergeCell ref="C89:D92"/>
    <mergeCell ref="O87:P87"/>
    <mergeCell ref="O89:P89"/>
    <mergeCell ref="O91:P91"/>
    <mergeCell ref="O93:P93"/>
    <mergeCell ref="O95:P95"/>
    <mergeCell ref="O97:P97"/>
    <mergeCell ref="O99:P99"/>
    <mergeCell ref="O101:P101"/>
    <mergeCell ref="E79:H79"/>
    <mergeCell ref="E81:H81"/>
    <mergeCell ref="E83:H83"/>
    <mergeCell ref="E87:H87"/>
    <mergeCell ref="C81:D82"/>
    <mergeCell ref="C79:D79"/>
    <mergeCell ref="L80:P80"/>
    <mergeCell ref="B75:I75"/>
    <mergeCell ref="O103:P103"/>
  </mergeCells>
  <conditionalFormatting sqref="F68:Q68">
    <cfRule type="expression" dxfId="45" priority="32">
      <formula>#REF!="FHA"</formula>
    </cfRule>
  </conditionalFormatting>
  <conditionalFormatting sqref="R38:T42">
    <cfRule type="expression" dxfId="44" priority="31">
      <formula>$R$38&lt;&gt;""</formula>
    </cfRule>
  </conditionalFormatting>
  <conditionalFormatting sqref="K76:Q102 K103:L103 Q103 O103">
    <cfRule type="expression" dxfId="43" priority="25">
      <formula>$D$21="Personal"</formula>
    </cfRule>
  </conditionalFormatting>
  <conditionalFormatting sqref="G32:G43 L32:L43 G50:G56 L50:L56">
    <cfRule type="expression" dxfId="42" priority="111">
      <formula>$D32=""</formula>
    </cfRule>
  </conditionalFormatting>
  <conditionalFormatting sqref="C28:D28">
    <cfRule type="expression" dxfId="41" priority="112">
      <formula>$D$25=""</formula>
    </cfRule>
  </conditionalFormatting>
  <conditionalFormatting sqref="J14 J16">
    <cfRule type="expression" dxfId="40" priority="113">
      <formula>$J$12="No"</formula>
    </cfRule>
  </conditionalFormatting>
  <conditionalFormatting sqref="K76:Q102 K104:Q114 K103:L103 Q103 O103">
    <cfRule type="expression" dxfId="39" priority="17">
      <formula>$G$73="Expense Factor"</formula>
    </cfRule>
  </conditionalFormatting>
  <conditionalFormatting sqref="G73:L73">
    <cfRule type="expression" dxfId="38" priority="13">
      <formula>$D$21="Personal"</formula>
    </cfRule>
  </conditionalFormatting>
  <conditionalFormatting sqref="O103:P103">
    <cfRule type="expression" dxfId="37" priority="11">
      <formula>$O$103="YES"</formula>
    </cfRule>
    <cfRule type="expression" dxfId="36" priority="12">
      <formula>$O$103="NO"</formula>
    </cfRule>
  </conditionalFormatting>
  <conditionalFormatting sqref="G57:G61 L57:L61">
    <cfRule type="expression" dxfId="35" priority="10">
      <formula>$D57=""</formula>
    </cfRule>
  </conditionalFormatting>
  <conditionalFormatting sqref="B76:I114">
    <cfRule type="expression" dxfId="34" priority="14">
      <formula>$D$8&gt;75</formula>
    </cfRule>
    <cfRule type="expression" dxfId="33" priority="15">
      <formula>AND($D$6&lt;680, $D$6 &gt;0)</formula>
    </cfRule>
    <cfRule type="expression" dxfId="32" priority="16">
      <formula>$D$21="Personal"</formula>
    </cfRule>
    <cfRule type="expression" dxfId="31" priority="23">
      <formula>$G$73="BORROWER PREPARED P&amp;L or EARNINGS SUMMARY (ES)"</formula>
    </cfRule>
  </conditionalFormatting>
  <conditionalFormatting sqref="E93:F98">
    <cfRule type="expression" dxfId="30" priority="9">
      <formula>AND($E$79="offers services",$E$81=0)</formula>
    </cfRule>
  </conditionalFormatting>
  <conditionalFormatting sqref="G93:G98">
    <cfRule type="expression" dxfId="29" priority="8">
      <formula>AND($E$79="offers services",$E$81="1-5")</formula>
    </cfRule>
  </conditionalFormatting>
  <conditionalFormatting sqref="H93:H98">
    <cfRule type="expression" dxfId="28" priority="7">
      <formula>AND($E$79="offers services",$E$81="&gt;5")</formula>
    </cfRule>
  </conditionalFormatting>
  <conditionalFormatting sqref="E99:F102">
    <cfRule type="expression" dxfId="27" priority="5">
      <formula>AND($E$79="both",$E$81=0)</formula>
    </cfRule>
    <cfRule type="expression" dxfId="26" priority="6">
      <formula>AND($E$79="sells goods",$E$81=0)</formula>
    </cfRule>
  </conditionalFormatting>
  <conditionalFormatting sqref="G99:G102">
    <cfRule type="expression" dxfId="25" priority="3">
      <formula>AND($E$79="both",$E$81="1-5")</formula>
    </cfRule>
    <cfRule type="expression" dxfId="24" priority="4">
      <formula>AND($E$79="sells goods",$E$81="1-5")</formula>
    </cfRule>
  </conditionalFormatting>
  <conditionalFormatting sqref="H99:H102">
    <cfRule type="expression" dxfId="23" priority="1">
      <formula>AND($E$79="both",$E$81="&gt;5")</formula>
    </cfRule>
    <cfRule type="expression" dxfId="22" priority="2">
      <formula>AND($E$79="sells goods",$E$81="&gt;5")</formula>
    </cfRule>
  </conditionalFormatting>
  <dataValidations count="5">
    <dataValidation type="decimal" allowBlank="1" showInputMessage="1" showErrorMessage="1" sqref="I10:I11 D10 G9:P9 I8 M11">
      <formula1>0</formula1>
      <formula2>1</formula2>
    </dataValidation>
    <dataValidation type="date" allowBlank="1" showInputMessage="1" showErrorMessage="1" sqref="D25">
      <formula1>1</formula1>
      <formula2>44562</formula2>
    </dataValidation>
    <dataValidation type="list" allowBlank="1" showInputMessage="1" showErrorMessage="1" sqref="N23 N21">
      <formula1>BExpStd</formula1>
    </dataValidation>
    <dataValidation type="whole" allowBlank="1" showInputMessage="1" showErrorMessage="1" sqref="D6:G6">
      <formula1>500</formula1>
      <formula2>1000</formula2>
    </dataValidation>
    <dataValidation type="decimal" allowBlank="1" showInputMessage="1" showErrorMessage="1" sqref="D8:G8">
      <formula1>0</formula1>
      <formula2>90</formula2>
    </dataValidation>
  </dataValidations>
  <pageMargins left="0.2" right="0.2" top="0.25" bottom="0.25" header="0.3" footer="0.3"/>
  <pageSetup paperSize="5" scale="70" fitToHeight="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Admin!$E$35:$E$36</xm:f>
          </x14:formula1>
          <xm:sqref>G73:L73</xm:sqref>
        </x14:dataValidation>
        <x14:dataValidation type="list" allowBlank="1" showInputMessage="1" showErrorMessage="1">
          <x14:formula1>
            <xm:f>Admin!$B$30:$B$32</xm:f>
          </x14:formula1>
          <xm:sqref>M8:P8</xm:sqref>
        </x14:dataValidation>
        <x14:dataValidation type="list" allowBlank="1" showInputMessage="1" showErrorMessage="1">
          <x14:formula1>
            <xm:f>Admin!$B$20:$B$22</xm:f>
          </x14:formula1>
          <xm:sqref>M6</xm:sqref>
        </x14:dataValidation>
        <x14:dataValidation type="list" allowBlank="1" showInputMessage="1" showErrorMessage="1">
          <x14:formula1>
            <xm:f>Admin!$B$14:$B$15</xm:f>
          </x14:formula1>
          <xm:sqref>N25 J16 M10 J12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3"/>
  <sheetViews>
    <sheetView showGridLines="0" zoomScale="70" zoomScaleNormal="70" workbookViewId="0">
      <selection activeCell="H21" sqref="H21:I21"/>
    </sheetView>
  </sheetViews>
  <sheetFormatPr defaultRowHeight="14.4" x14ac:dyDescent="0.3"/>
  <cols>
    <col min="2" max="2" width="2.5546875" customWidth="1"/>
    <col min="6" max="6" width="10.109375" customWidth="1"/>
    <col min="7" max="7" width="12.88671875" customWidth="1"/>
    <col min="8" max="8" width="12.109375" customWidth="1"/>
    <col min="11" max="11" width="3.33203125" customWidth="1"/>
    <col min="12" max="12" width="5.5546875" customWidth="1"/>
    <col min="15" max="15" width="27.88671875" customWidth="1"/>
    <col min="16" max="16" width="2.5546875" customWidth="1"/>
    <col min="20" max="20" width="2.5546875" customWidth="1"/>
  </cols>
  <sheetData>
    <row r="1" spans="1:20" ht="76.5" customHeight="1" x14ac:dyDescent="0.3">
      <c r="A1" s="2"/>
      <c r="B1" s="589" t="s">
        <v>152</v>
      </c>
      <c r="C1" s="589"/>
      <c r="D1" s="589"/>
      <c r="E1" s="589"/>
      <c r="F1" s="589"/>
      <c r="G1" s="589"/>
      <c r="H1" s="589"/>
      <c r="I1" s="183"/>
      <c r="J1" s="183"/>
      <c r="K1" s="183"/>
      <c r="L1" s="183"/>
      <c r="M1" s="2"/>
      <c r="N1" s="2"/>
      <c r="O1" s="2"/>
      <c r="P1" s="2"/>
      <c r="Q1" s="2"/>
      <c r="R1" s="2"/>
      <c r="S1" s="2"/>
    </row>
    <row r="2" spans="1:20" ht="24" thickBot="1" x14ac:dyDescent="0.35">
      <c r="A2" s="2"/>
      <c r="B2" s="591"/>
      <c r="C2" s="592"/>
      <c r="D2" s="592"/>
      <c r="E2" s="592"/>
      <c r="F2" s="592"/>
      <c r="G2" s="592"/>
      <c r="H2" s="592"/>
      <c r="I2" s="592"/>
      <c r="J2" s="592"/>
      <c r="K2" s="592"/>
      <c r="L2" s="592"/>
      <c r="M2" s="592"/>
      <c r="N2" s="592"/>
      <c r="O2" s="592"/>
      <c r="P2" s="592"/>
      <c r="Q2" s="592"/>
      <c r="R2" s="592"/>
      <c r="S2" s="592"/>
      <c r="T2" s="593"/>
    </row>
    <row r="3" spans="1:20" ht="15.6" x14ac:dyDescent="0.3">
      <c r="A3" s="2"/>
      <c r="B3" s="373">
        <v>1</v>
      </c>
      <c r="C3" s="160"/>
      <c r="D3" s="160"/>
      <c r="E3" s="160"/>
      <c r="F3" s="160"/>
      <c r="G3" s="160"/>
      <c r="H3" s="160"/>
      <c r="I3" s="160"/>
      <c r="J3" s="160"/>
      <c r="K3" s="160"/>
      <c r="L3" s="160"/>
      <c r="M3" s="160"/>
      <c r="N3" s="160"/>
      <c r="O3" s="160"/>
      <c r="P3" s="160"/>
      <c r="Q3" s="160"/>
      <c r="R3" s="160"/>
      <c r="S3" s="160"/>
      <c r="T3" s="374"/>
    </row>
    <row r="4" spans="1:20" ht="23.25" customHeight="1" x14ac:dyDescent="0.3">
      <c r="A4" s="2"/>
      <c r="B4" s="373"/>
      <c r="C4" s="160"/>
      <c r="D4" s="576" t="s">
        <v>74</v>
      </c>
      <c r="E4" s="577"/>
      <c r="F4" s="599" t="s">
        <v>158</v>
      </c>
      <c r="G4" s="600"/>
      <c r="H4" s="601"/>
      <c r="I4" s="160"/>
      <c r="J4" s="160"/>
      <c r="K4" s="160"/>
      <c r="L4" s="160"/>
      <c r="M4" s="213" t="s">
        <v>148</v>
      </c>
      <c r="N4" s="160"/>
      <c r="O4" s="160"/>
      <c r="P4" s="160"/>
      <c r="Q4" s="616">
        <v>1</v>
      </c>
      <c r="R4" s="617"/>
      <c r="S4" s="160"/>
      <c r="T4" s="374"/>
    </row>
    <row r="5" spans="1:20" ht="6.75" customHeight="1" x14ac:dyDescent="0.3">
      <c r="A5" s="2"/>
      <c r="B5" s="373"/>
      <c r="C5" s="160"/>
      <c r="D5" s="160"/>
      <c r="E5" s="160"/>
      <c r="F5" s="160"/>
      <c r="G5" s="160"/>
      <c r="H5" s="160"/>
      <c r="I5" s="160"/>
      <c r="J5" s="160"/>
      <c r="K5" s="160"/>
      <c r="L5" s="160"/>
      <c r="M5" s="160"/>
      <c r="N5" s="160"/>
      <c r="O5" s="160"/>
      <c r="P5" s="160"/>
      <c r="Q5" s="160"/>
      <c r="R5" s="160"/>
      <c r="S5" s="160"/>
      <c r="T5" s="374"/>
    </row>
    <row r="6" spans="1:20" ht="15.6" hidden="1" x14ac:dyDescent="0.3">
      <c r="A6" s="2"/>
      <c r="B6" s="373"/>
      <c r="C6" s="176"/>
      <c r="D6" s="576"/>
      <c r="E6" s="577"/>
      <c r="F6" s="599"/>
      <c r="G6" s="600"/>
      <c r="H6" s="601"/>
      <c r="I6" s="160"/>
      <c r="J6" s="160"/>
      <c r="K6" s="160"/>
      <c r="L6" s="160"/>
      <c r="M6" s="160"/>
      <c r="N6" s="160"/>
      <c r="O6" s="160"/>
      <c r="P6" s="160"/>
      <c r="Q6" s="160"/>
      <c r="R6" s="160"/>
      <c r="S6" s="160"/>
      <c r="T6" s="374"/>
    </row>
    <row r="7" spans="1:20" ht="15.6" x14ac:dyDescent="0.3">
      <c r="A7" s="2"/>
      <c r="B7" s="373"/>
      <c r="C7" s="160"/>
      <c r="D7" s="160"/>
      <c r="E7" s="160"/>
      <c r="F7" s="160"/>
      <c r="G7" s="160"/>
      <c r="H7" s="160"/>
      <c r="I7" s="160"/>
      <c r="J7" s="160"/>
      <c r="K7" s="160"/>
      <c r="L7" s="160"/>
      <c r="M7" s="160"/>
      <c r="N7" s="160"/>
      <c r="O7" s="160"/>
      <c r="P7" s="160"/>
      <c r="Q7" s="160"/>
      <c r="R7" s="160"/>
      <c r="S7" s="160"/>
      <c r="T7" s="374"/>
    </row>
    <row r="8" spans="1:20" x14ac:dyDescent="0.3">
      <c r="B8" s="189"/>
      <c r="C8" s="176"/>
      <c r="D8" s="176"/>
      <c r="E8" s="176"/>
      <c r="F8" s="176"/>
      <c r="G8" s="176"/>
      <c r="H8" s="176"/>
      <c r="I8" s="176"/>
      <c r="J8" s="176"/>
      <c r="K8" s="176"/>
      <c r="L8" s="176"/>
      <c r="M8" s="176"/>
      <c r="N8" s="176"/>
      <c r="O8" s="176"/>
      <c r="P8" s="176"/>
      <c r="Q8" s="176"/>
      <c r="R8" s="176"/>
      <c r="S8" s="176"/>
      <c r="T8" s="374"/>
    </row>
    <row r="9" spans="1:20" ht="18" x14ac:dyDescent="0.3">
      <c r="B9" s="189"/>
      <c r="C9" s="496" t="s">
        <v>141</v>
      </c>
      <c r="D9" s="496"/>
      <c r="E9" s="496"/>
      <c r="F9" s="496"/>
      <c r="G9" s="496"/>
      <c r="H9" s="496"/>
      <c r="I9" s="496"/>
      <c r="J9" s="496"/>
      <c r="K9" s="176"/>
      <c r="L9" s="496" t="s">
        <v>143</v>
      </c>
      <c r="M9" s="496"/>
      <c r="N9" s="496"/>
      <c r="O9" s="496"/>
      <c r="P9" s="496"/>
      <c r="Q9" s="496"/>
      <c r="R9" s="496"/>
      <c r="S9" s="496"/>
      <c r="T9" s="374"/>
    </row>
    <row r="10" spans="1:20" ht="6.75" customHeight="1" x14ac:dyDescent="0.3">
      <c r="B10" s="189"/>
      <c r="C10" s="367"/>
      <c r="D10" s="368"/>
      <c r="E10" s="368"/>
      <c r="F10" s="368"/>
      <c r="G10" s="368"/>
      <c r="H10" s="368"/>
      <c r="I10" s="368"/>
      <c r="J10" s="369"/>
      <c r="K10" s="176"/>
      <c r="L10" s="367"/>
      <c r="M10" s="368"/>
      <c r="N10" s="368"/>
      <c r="O10" s="368"/>
      <c r="P10" s="368"/>
      <c r="Q10" s="368"/>
      <c r="R10" s="368"/>
      <c r="S10" s="369"/>
      <c r="T10" s="374"/>
    </row>
    <row r="11" spans="1:20" ht="36.75" customHeight="1" x14ac:dyDescent="0.3">
      <c r="B11" s="189"/>
      <c r="C11" s="367"/>
      <c r="D11" s="622" t="s">
        <v>142</v>
      </c>
      <c r="E11" s="622"/>
      <c r="F11" s="622"/>
      <c r="G11" s="245"/>
      <c r="H11" s="604"/>
      <c r="I11" s="605"/>
      <c r="J11" s="369"/>
      <c r="K11" s="176"/>
      <c r="L11" s="367"/>
      <c r="M11" s="618" t="s">
        <v>145</v>
      </c>
      <c r="N11" s="618"/>
      <c r="O11" s="618"/>
      <c r="P11" s="371"/>
      <c r="Q11" s="604">
        <v>80000</v>
      </c>
      <c r="R11" s="605"/>
      <c r="S11" s="369"/>
      <c r="T11" s="374"/>
    </row>
    <row r="12" spans="1:20" ht="6.75" customHeight="1" x14ac:dyDescent="0.3">
      <c r="B12" s="189"/>
      <c r="C12" s="367"/>
      <c r="D12" s="366"/>
      <c r="E12" s="366"/>
      <c r="F12" s="366"/>
      <c r="G12" s="366"/>
      <c r="H12" s="366"/>
      <c r="I12" s="366"/>
      <c r="J12" s="369"/>
      <c r="K12" s="176"/>
      <c r="L12" s="367"/>
      <c r="M12" s="370"/>
      <c r="N12" s="370"/>
      <c r="O12" s="370"/>
      <c r="P12" s="370"/>
      <c r="Q12" s="370"/>
      <c r="R12" s="370"/>
      <c r="S12" s="369"/>
      <c r="T12" s="374"/>
    </row>
    <row r="13" spans="1:20" ht="47.25" customHeight="1" x14ac:dyDescent="0.3">
      <c r="B13" s="189"/>
      <c r="C13" s="367"/>
      <c r="D13" s="594" t="s">
        <v>144</v>
      </c>
      <c r="E13" s="594"/>
      <c r="F13" s="594"/>
      <c r="G13" s="594"/>
      <c r="H13" s="604"/>
      <c r="I13" s="605"/>
      <c r="J13" s="369"/>
      <c r="K13" s="176"/>
      <c r="L13" s="367"/>
      <c r="M13" s="618" t="s">
        <v>146</v>
      </c>
      <c r="N13" s="618"/>
      <c r="O13" s="618"/>
      <c r="P13" s="371"/>
      <c r="Q13" s="604">
        <v>80000</v>
      </c>
      <c r="R13" s="605"/>
      <c r="S13" s="369"/>
      <c r="T13" s="374"/>
    </row>
    <row r="14" spans="1:20" ht="18" x14ac:dyDescent="0.3">
      <c r="B14" s="189"/>
      <c r="C14" s="367"/>
      <c r="D14" s="594"/>
      <c r="E14" s="594"/>
      <c r="F14" s="594"/>
      <c r="G14" s="594"/>
      <c r="H14" s="293"/>
      <c r="I14" s="290"/>
      <c r="J14" s="369"/>
      <c r="K14" s="176"/>
      <c r="L14" s="367"/>
      <c r="M14" s="371"/>
      <c r="N14" s="371"/>
      <c r="O14" s="371"/>
      <c r="P14" s="371"/>
      <c r="Q14" s="365"/>
      <c r="R14" s="365"/>
      <c r="S14" s="369"/>
      <c r="T14" s="374"/>
    </row>
    <row r="15" spans="1:20" ht="15.6" x14ac:dyDescent="0.3">
      <c r="B15" s="189"/>
      <c r="C15" s="301"/>
      <c r="D15" s="606" t="s">
        <v>100</v>
      </c>
      <c r="E15" s="607"/>
      <c r="F15" s="607"/>
      <c r="G15" s="607"/>
      <c r="H15" s="607"/>
      <c r="I15" s="608"/>
      <c r="J15" s="191"/>
      <c r="K15" s="176"/>
      <c r="L15" s="301"/>
      <c r="M15" s="606" t="s">
        <v>157</v>
      </c>
      <c r="N15" s="607"/>
      <c r="O15" s="607"/>
      <c r="P15" s="607"/>
      <c r="Q15" s="607"/>
      <c r="R15" s="608"/>
      <c r="S15" s="191"/>
      <c r="T15" s="374"/>
    </row>
    <row r="16" spans="1:20" ht="5.25" customHeight="1" x14ac:dyDescent="0.3">
      <c r="B16" s="189"/>
      <c r="C16" s="302"/>
      <c r="D16" s="181"/>
      <c r="E16" s="252"/>
      <c r="F16" s="252"/>
      <c r="G16" s="252"/>
      <c r="H16" s="252"/>
      <c r="I16" s="252"/>
      <c r="J16" s="222"/>
      <c r="K16" s="176"/>
      <c r="L16" s="302"/>
      <c r="M16" s="176"/>
      <c r="N16" s="176"/>
      <c r="O16" s="176"/>
      <c r="P16" s="176"/>
      <c r="Q16" s="176"/>
      <c r="R16" s="176"/>
      <c r="S16" s="222"/>
      <c r="T16" s="374"/>
    </row>
    <row r="17" spans="2:20" ht="23.25" customHeight="1" x14ac:dyDescent="0.3">
      <c r="B17" s="189"/>
      <c r="C17" s="302"/>
      <c r="D17" s="251" t="s">
        <v>101</v>
      </c>
      <c r="E17" s="176"/>
      <c r="F17" s="176"/>
      <c r="G17" s="176"/>
      <c r="H17" s="176"/>
      <c r="I17" s="176"/>
      <c r="J17" s="222"/>
      <c r="K17" s="176"/>
      <c r="L17" s="302"/>
      <c r="M17" s="625" t="s">
        <v>156</v>
      </c>
      <c r="N17" s="625"/>
      <c r="O17" s="625"/>
      <c r="P17" s="181"/>
      <c r="Q17" s="623">
        <v>8</v>
      </c>
      <c r="R17" s="624"/>
      <c r="S17" s="222"/>
      <c r="T17" s="374"/>
    </row>
    <row r="18" spans="2:20" ht="5.25" customHeight="1" x14ac:dyDescent="0.3">
      <c r="B18" s="189"/>
      <c r="C18" s="302"/>
      <c r="D18" s="176"/>
      <c r="E18" s="188"/>
      <c r="F18" s="188"/>
      <c r="G18" s="188"/>
      <c r="H18" s="185"/>
      <c r="I18" s="118"/>
      <c r="J18" s="222"/>
      <c r="K18" s="176"/>
      <c r="L18" s="302"/>
      <c r="M18" s="176"/>
      <c r="N18" s="176"/>
      <c r="O18" s="176"/>
      <c r="P18" s="176"/>
      <c r="Q18" s="176"/>
      <c r="R18" s="176"/>
      <c r="S18" s="222"/>
      <c r="T18" s="374"/>
    </row>
    <row r="19" spans="2:20" ht="15.75" customHeight="1" x14ac:dyDescent="0.3">
      <c r="B19" s="189"/>
      <c r="C19" s="302"/>
      <c r="D19" s="347" t="s">
        <v>150</v>
      </c>
      <c r="E19" s="347"/>
      <c r="F19" s="347"/>
      <c r="G19" s="348"/>
      <c r="H19" s="604"/>
      <c r="I19" s="605"/>
      <c r="J19" s="221"/>
      <c r="K19" s="176"/>
      <c r="L19" s="621" t="s">
        <v>135</v>
      </c>
      <c r="M19" s="553"/>
      <c r="N19" s="553"/>
      <c r="O19" s="553"/>
      <c r="P19" s="372"/>
      <c r="Q19" s="604">
        <v>124000</v>
      </c>
      <c r="R19" s="605"/>
      <c r="S19" s="221"/>
      <c r="T19" s="374"/>
    </row>
    <row r="20" spans="2:20" ht="24.75" customHeight="1" x14ac:dyDescent="0.3">
      <c r="B20" s="189"/>
      <c r="C20" s="302"/>
      <c r="D20" s="180"/>
      <c r="E20" s="247"/>
      <c r="F20" s="248"/>
      <c r="G20" s="248"/>
      <c r="H20" s="176"/>
      <c r="I20" s="225"/>
      <c r="J20" s="221"/>
      <c r="K20" s="176"/>
      <c r="L20" s="619" t="s">
        <v>136</v>
      </c>
      <c r="M20" s="620"/>
      <c r="N20" s="620"/>
      <c r="O20" s="620"/>
      <c r="P20" s="620"/>
      <c r="Q20" s="620"/>
      <c r="R20" s="620"/>
      <c r="S20" s="221"/>
      <c r="T20" s="374"/>
    </row>
    <row r="21" spans="2:20" ht="24" customHeight="1" x14ac:dyDescent="0.35">
      <c r="B21" s="189"/>
      <c r="C21" s="302"/>
      <c r="D21" s="395" t="s">
        <v>151</v>
      </c>
      <c r="E21" s="395"/>
      <c r="F21" s="395"/>
      <c r="G21" s="396"/>
      <c r="H21" s="602" t="str">
        <f>IFERROR(IF(BT="Personal",(#REF!/MosReq),H41),"TBD")</f>
        <v>TBD</v>
      </c>
      <c r="I21" s="603"/>
      <c r="J21" s="223"/>
      <c r="K21" s="176"/>
      <c r="L21" s="302"/>
      <c r="M21" s="306" t="s">
        <v>0</v>
      </c>
      <c r="N21" s="307"/>
      <c r="O21" s="297"/>
      <c r="P21" s="297"/>
      <c r="Q21" s="414">
        <v>30000</v>
      </c>
      <c r="R21" s="415"/>
      <c r="S21" s="223"/>
      <c r="T21" s="374"/>
    </row>
    <row r="22" spans="2:20" ht="7.5" customHeight="1" x14ac:dyDescent="0.35">
      <c r="B22" s="189"/>
      <c r="C22" s="302"/>
      <c r="D22" s="176"/>
      <c r="E22" s="185"/>
      <c r="F22" s="185"/>
      <c r="G22" s="185"/>
      <c r="H22" s="176"/>
      <c r="I22" s="225"/>
      <c r="J22" s="223"/>
      <c r="K22" s="176"/>
      <c r="L22" s="302"/>
      <c r="M22" s="308"/>
      <c r="N22" s="306"/>
      <c r="O22" s="283"/>
      <c r="P22" s="283"/>
      <c r="Q22" s="185"/>
      <c r="R22" s="290"/>
      <c r="S22" s="223"/>
      <c r="T22" s="374"/>
    </row>
    <row r="23" spans="2:20" ht="21" x14ac:dyDescent="0.35">
      <c r="B23" s="189"/>
      <c r="C23" s="302"/>
      <c r="D23" s="176"/>
      <c r="E23" s="185"/>
      <c r="F23" s="352" t="s">
        <v>67</v>
      </c>
      <c r="G23" s="352"/>
      <c r="H23" s="609" t="str">
        <f>IF(H19=0,"TBD",IF(H21=0,"TBD",MIN(H19,H21)))</f>
        <v>TBD</v>
      </c>
      <c r="I23" s="610"/>
      <c r="J23" s="223"/>
      <c r="K23" s="176"/>
      <c r="L23" s="302"/>
      <c r="M23" s="213" t="s">
        <v>1</v>
      </c>
      <c r="N23" s="307"/>
      <c r="O23" s="169"/>
      <c r="P23" s="169"/>
      <c r="Q23" s="414">
        <v>12000</v>
      </c>
      <c r="R23" s="415"/>
      <c r="S23" s="223"/>
      <c r="T23" s="374"/>
    </row>
    <row r="24" spans="2:20" ht="7.5" customHeight="1" x14ac:dyDescent="0.35">
      <c r="B24" s="189"/>
      <c r="C24" s="302"/>
      <c r="D24" s="362"/>
      <c r="E24" s="213"/>
      <c r="F24" s="285"/>
      <c r="G24" s="285"/>
      <c r="H24" s="293"/>
      <c r="I24" s="290"/>
      <c r="J24" s="223"/>
      <c r="K24" s="176"/>
      <c r="L24" s="302"/>
      <c r="M24" s="308"/>
      <c r="N24" s="213"/>
      <c r="O24" s="285"/>
      <c r="P24" s="285"/>
      <c r="Q24" s="185"/>
      <c r="R24" s="290"/>
      <c r="S24" s="223"/>
      <c r="T24" s="374"/>
    </row>
    <row r="25" spans="2:20" ht="18" x14ac:dyDescent="0.35">
      <c r="B25" s="189"/>
      <c r="C25" s="302"/>
      <c r="D25" s="345"/>
      <c r="E25" s="310"/>
      <c r="F25" s="361"/>
      <c r="G25" s="361"/>
      <c r="H25" s="614"/>
      <c r="I25" s="614"/>
      <c r="J25" s="223"/>
      <c r="K25" s="176"/>
      <c r="L25" s="302"/>
      <c r="M25" s="306" t="s">
        <v>34</v>
      </c>
      <c r="N25" s="307"/>
      <c r="O25" s="297"/>
      <c r="P25" s="297"/>
      <c r="Q25" s="414">
        <v>12000</v>
      </c>
      <c r="R25" s="415"/>
      <c r="S25" s="223"/>
      <c r="T25" s="374"/>
    </row>
    <row r="26" spans="2:20" ht="7.5" customHeight="1" x14ac:dyDescent="0.35">
      <c r="B26" s="189"/>
      <c r="C26" s="302"/>
      <c r="D26" s="362"/>
      <c r="E26" s="345"/>
      <c r="F26" s="284"/>
      <c r="G26" s="284"/>
      <c r="H26" s="293"/>
      <c r="I26" s="290"/>
      <c r="J26" s="223"/>
      <c r="K26" s="176"/>
      <c r="L26" s="302"/>
      <c r="M26" s="308"/>
      <c r="N26" s="306"/>
      <c r="O26" s="283"/>
      <c r="P26" s="283"/>
      <c r="Q26" s="185"/>
      <c r="R26" s="290"/>
      <c r="S26" s="223"/>
      <c r="T26" s="374"/>
    </row>
    <row r="27" spans="2:20" ht="18" x14ac:dyDescent="0.35">
      <c r="B27" s="189"/>
      <c r="C27" s="302"/>
      <c r="D27" s="345"/>
      <c r="E27" s="345"/>
      <c r="F27" s="284"/>
      <c r="G27" s="284"/>
      <c r="H27" s="290"/>
      <c r="I27" s="290"/>
      <c r="J27" s="223"/>
      <c r="K27" s="176"/>
      <c r="L27" s="302"/>
      <c r="M27" s="345" t="s">
        <v>43</v>
      </c>
      <c r="N27" s="345"/>
      <c r="O27" s="283"/>
      <c r="P27" s="283"/>
      <c r="Q27" s="343"/>
      <c r="R27" s="344"/>
      <c r="S27" s="223"/>
      <c r="T27" s="374"/>
    </row>
    <row r="28" spans="2:20" ht="7.5" customHeight="1" x14ac:dyDescent="0.35">
      <c r="B28" s="189"/>
      <c r="C28" s="302"/>
      <c r="D28" s="362"/>
      <c r="E28" s="345"/>
      <c r="F28" s="284"/>
      <c r="G28" s="284"/>
      <c r="H28" s="293"/>
      <c r="I28" s="290"/>
      <c r="J28" s="223"/>
      <c r="K28" s="176"/>
      <c r="L28" s="302"/>
      <c r="M28" s="308"/>
      <c r="N28" s="306"/>
      <c r="O28" s="283"/>
      <c r="P28" s="283"/>
      <c r="Q28" s="185"/>
      <c r="R28" s="290"/>
      <c r="S28" s="223"/>
      <c r="T28" s="374"/>
    </row>
    <row r="29" spans="2:20" ht="18" x14ac:dyDescent="0.35">
      <c r="B29" s="189"/>
      <c r="C29" s="302"/>
      <c r="D29" s="345"/>
      <c r="E29" s="310"/>
      <c r="F29" s="294"/>
      <c r="G29" s="294"/>
      <c r="H29" s="615"/>
      <c r="I29" s="615"/>
      <c r="J29" s="223"/>
      <c r="K29" s="176"/>
      <c r="L29" s="302"/>
      <c r="M29" s="309" t="s">
        <v>123</v>
      </c>
      <c r="N29" s="359"/>
      <c r="O29" s="360"/>
      <c r="P29" s="294"/>
      <c r="Q29" s="595"/>
      <c r="R29" s="596"/>
      <c r="S29" s="223"/>
      <c r="T29" s="374"/>
    </row>
    <row r="30" spans="2:20" ht="7.5" customHeight="1" x14ac:dyDescent="0.35">
      <c r="B30" s="189"/>
      <c r="C30" s="302"/>
      <c r="D30" s="345"/>
      <c r="E30" s="345"/>
      <c r="F30" s="284"/>
      <c r="G30" s="284"/>
      <c r="H30" s="293"/>
      <c r="I30" s="290"/>
      <c r="J30" s="223"/>
      <c r="K30" s="176"/>
      <c r="L30" s="302"/>
      <c r="M30" s="345"/>
      <c r="N30" s="345"/>
      <c r="O30" s="284"/>
      <c r="P30" s="284"/>
      <c r="Q30" s="185"/>
      <c r="R30" s="290"/>
      <c r="S30" s="223"/>
      <c r="T30" s="374"/>
    </row>
    <row r="31" spans="2:20" ht="18" x14ac:dyDescent="0.35">
      <c r="B31" s="189"/>
      <c r="C31" s="302"/>
      <c r="D31" s="345"/>
      <c r="E31" s="345"/>
      <c r="F31" s="294"/>
      <c r="G31" s="294"/>
      <c r="H31" s="615"/>
      <c r="I31" s="615"/>
      <c r="J31" s="223"/>
      <c r="K31" s="176"/>
      <c r="L31" s="302"/>
      <c r="M31" s="309" t="s">
        <v>123</v>
      </c>
      <c r="N31" s="309"/>
      <c r="O31" s="360"/>
      <c r="P31" s="294"/>
      <c r="Q31" s="595"/>
      <c r="R31" s="596"/>
      <c r="S31" s="223"/>
      <c r="T31" s="374"/>
    </row>
    <row r="32" spans="2:20" ht="7.5" customHeight="1" x14ac:dyDescent="0.35">
      <c r="B32" s="189"/>
      <c r="C32" s="302"/>
      <c r="D32" s="345"/>
      <c r="E32" s="345"/>
      <c r="F32" s="294"/>
      <c r="G32" s="294"/>
      <c r="H32" s="293"/>
      <c r="I32" s="290"/>
      <c r="J32" s="223"/>
      <c r="K32" s="176"/>
      <c r="L32" s="302"/>
      <c r="M32" s="345"/>
      <c r="N32" s="345"/>
      <c r="O32" s="294"/>
      <c r="P32" s="294"/>
      <c r="Q32" s="185"/>
      <c r="R32" s="290"/>
      <c r="S32" s="223"/>
      <c r="T32" s="374"/>
    </row>
    <row r="33" spans="2:20" ht="18" x14ac:dyDescent="0.35">
      <c r="B33" s="189"/>
      <c r="C33" s="302"/>
      <c r="D33" s="345"/>
      <c r="E33" s="345"/>
      <c r="F33" s="294"/>
      <c r="G33" s="294"/>
      <c r="H33" s="615"/>
      <c r="I33" s="615"/>
      <c r="J33" s="223"/>
      <c r="K33" s="176"/>
      <c r="L33" s="302"/>
      <c r="M33" s="309" t="s">
        <v>123</v>
      </c>
      <c r="N33" s="309"/>
      <c r="O33" s="360"/>
      <c r="P33" s="294"/>
      <c r="Q33" s="595"/>
      <c r="R33" s="596"/>
      <c r="S33" s="223"/>
      <c r="T33" s="374"/>
    </row>
    <row r="34" spans="2:20" ht="7.5" customHeight="1" x14ac:dyDescent="0.35">
      <c r="B34" s="189"/>
      <c r="C34" s="302"/>
      <c r="D34" s="181"/>
      <c r="E34" s="186"/>
      <c r="F34" s="294"/>
      <c r="G34" s="294"/>
      <c r="H34" s="293"/>
      <c r="I34" s="290"/>
      <c r="J34" s="223"/>
      <c r="K34" s="176"/>
      <c r="L34" s="302"/>
      <c r="M34" s="176"/>
      <c r="N34" s="186"/>
      <c r="O34" s="294"/>
      <c r="P34" s="294"/>
      <c r="Q34" s="293"/>
      <c r="R34" s="290"/>
      <c r="S34" s="223"/>
      <c r="T34" s="374"/>
    </row>
    <row r="35" spans="2:20" ht="18" x14ac:dyDescent="0.35">
      <c r="B35" s="189"/>
      <c r="C35" s="302"/>
      <c r="D35" s="181"/>
      <c r="E35" s="293"/>
      <c r="F35" s="232"/>
      <c r="G35" s="232"/>
      <c r="H35" s="590"/>
      <c r="I35" s="590"/>
      <c r="J35" s="223"/>
      <c r="K35" s="176"/>
      <c r="L35" s="302"/>
      <c r="M35" s="176"/>
      <c r="N35" s="185"/>
      <c r="O35" s="232" t="s">
        <v>7</v>
      </c>
      <c r="P35" s="232"/>
      <c r="Q35" s="597">
        <f>SUM(Q21:R33)</f>
        <v>54000</v>
      </c>
      <c r="R35" s="598"/>
      <c r="S35" s="223"/>
      <c r="T35" s="374"/>
    </row>
    <row r="36" spans="2:20" ht="4.5" customHeight="1" x14ac:dyDescent="0.35">
      <c r="B36" s="189"/>
      <c r="C36" s="302"/>
      <c r="D36" s="181"/>
      <c r="E36" s="186"/>
      <c r="F36" s="294"/>
      <c r="G36" s="294"/>
      <c r="H36" s="354"/>
      <c r="I36" s="290"/>
      <c r="J36" s="223"/>
      <c r="K36" s="176"/>
      <c r="L36" s="302"/>
      <c r="M36" s="176"/>
      <c r="N36" s="186"/>
      <c r="O36" s="294"/>
      <c r="P36" s="294"/>
      <c r="Q36" s="354"/>
      <c r="R36" s="290"/>
      <c r="S36" s="223"/>
      <c r="T36" s="374"/>
    </row>
    <row r="37" spans="2:20" ht="18" x14ac:dyDescent="0.3">
      <c r="B37" s="189"/>
      <c r="C37" s="302"/>
      <c r="D37" s="67"/>
      <c r="E37" s="67"/>
      <c r="F37" s="232"/>
      <c r="G37" s="232"/>
      <c r="H37" s="590"/>
      <c r="I37" s="590"/>
      <c r="J37" s="192"/>
      <c r="K37" s="176"/>
      <c r="L37" s="302"/>
      <c r="M37" s="1"/>
      <c r="N37" s="1"/>
      <c r="O37" s="232" t="s">
        <v>26</v>
      </c>
      <c r="P37" s="232"/>
      <c r="Q37" s="597">
        <f>Q19-Q35</f>
        <v>70000</v>
      </c>
      <c r="R37" s="598"/>
      <c r="S37" s="192"/>
      <c r="T37" s="374"/>
    </row>
    <row r="38" spans="2:20" ht="4.5" customHeight="1" x14ac:dyDescent="0.3">
      <c r="B38" s="189"/>
      <c r="C38" s="302"/>
      <c r="D38" s="181"/>
      <c r="E38" s="293"/>
      <c r="F38" s="232"/>
      <c r="G38" s="232"/>
      <c r="H38" s="354"/>
      <c r="I38" s="356"/>
      <c r="J38" s="192"/>
      <c r="K38" s="176"/>
      <c r="L38" s="302"/>
      <c r="M38" s="176"/>
      <c r="N38" s="185"/>
      <c r="O38" s="232"/>
      <c r="P38" s="232"/>
      <c r="Q38" s="355"/>
      <c r="R38" s="356"/>
      <c r="S38" s="192"/>
      <c r="T38" s="374"/>
    </row>
    <row r="39" spans="2:20" ht="18" x14ac:dyDescent="0.3">
      <c r="B39" s="189"/>
      <c r="C39" s="302"/>
      <c r="D39" s="181"/>
      <c r="E39" s="293"/>
      <c r="F39" s="232"/>
      <c r="G39" s="232"/>
      <c r="H39" s="590"/>
      <c r="I39" s="590"/>
      <c r="J39" s="192"/>
      <c r="K39" s="176"/>
      <c r="L39" s="302"/>
      <c r="M39" s="176"/>
      <c r="N39" s="185"/>
      <c r="O39" s="232" t="s">
        <v>114</v>
      </c>
      <c r="P39" s="232"/>
      <c r="Q39" s="597">
        <f>Q37*Q4</f>
        <v>70000</v>
      </c>
      <c r="R39" s="598"/>
      <c r="S39" s="192"/>
      <c r="T39" s="374"/>
    </row>
    <row r="40" spans="2:20" ht="4.5" customHeight="1" x14ac:dyDescent="0.3">
      <c r="B40" s="189"/>
      <c r="C40" s="302"/>
      <c r="D40" s="181"/>
      <c r="E40" s="293"/>
      <c r="F40" s="363"/>
      <c r="G40" s="363"/>
      <c r="H40" s="293"/>
      <c r="I40" s="299"/>
      <c r="J40" s="192"/>
      <c r="K40" s="176"/>
      <c r="L40" s="302"/>
      <c r="M40" s="176"/>
      <c r="N40" s="185"/>
      <c r="O40" s="188"/>
      <c r="P40" s="188"/>
      <c r="Q40" s="185"/>
      <c r="R40" s="244"/>
      <c r="S40" s="192"/>
      <c r="T40" s="374"/>
    </row>
    <row r="41" spans="2:20" ht="18" x14ac:dyDescent="0.3">
      <c r="B41" s="189"/>
      <c r="C41" s="302"/>
      <c r="D41" s="349"/>
      <c r="E41" s="67"/>
      <c r="F41" s="364"/>
      <c r="G41" s="364"/>
      <c r="H41" s="613"/>
      <c r="I41" s="613"/>
      <c r="J41" s="192"/>
      <c r="K41" s="176"/>
      <c r="L41" s="302"/>
      <c r="M41" s="349"/>
      <c r="N41" s="1"/>
      <c r="O41" s="248" t="s">
        <v>59</v>
      </c>
      <c r="P41" s="248"/>
      <c r="Q41" s="626">
        <f>IFERROR(Q39/Q17,"TBD")</f>
        <v>8750</v>
      </c>
      <c r="R41" s="627"/>
      <c r="S41" s="192"/>
      <c r="T41" s="374"/>
    </row>
    <row r="42" spans="2:20" ht="12" customHeight="1" x14ac:dyDescent="0.3">
      <c r="B42" s="189"/>
      <c r="C42" s="302"/>
      <c r="D42" s="181"/>
      <c r="E42" s="293"/>
      <c r="F42" s="363"/>
      <c r="G42" s="363"/>
      <c r="H42" s="293"/>
      <c r="I42" s="299"/>
      <c r="J42" s="192"/>
      <c r="K42" s="176"/>
      <c r="L42" s="302"/>
      <c r="M42" s="176"/>
      <c r="N42" s="185"/>
      <c r="O42" s="188"/>
      <c r="P42" s="188"/>
      <c r="Q42" s="185"/>
      <c r="R42" s="300"/>
      <c r="S42" s="192"/>
      <c r="T42" s="374"/>
    </row>
    <row r="43" spans="2:20" ht="18" x14ac:dyDescent="0.3">
      <c r="B43" s="189"/>
      <c r="C43" s="302"/>
      <c r="D43" s="176"/>
      <c r="E43" s="176"/>
      <c r="F43" s="176"/>
      <c r="G43" s="176"/>
      <c r="H43" s="176"/>
      <c r="I43" s="176"/>
      <c r="J43" s="193"/>
      <c r="K43" s="176"/>
      <c r="L43" s="302"/>
      <c r="M43" s="606" t="s">
        <v>100</v>
      </c>
      <c r="N43" s="607"/>
      <c r="O43" s="607"/>
      <c r="P43" s="607"/>
      <c r="Q43" s="607"/>
      <c r="R43" s="608"/>
      <c r="S43" s="193"/>
      <c r="T43" s="374"/>
    </row>
    <row r="44" spans="2:20" ht="4.5" customHeight="1" x14ac:dyDescent="0.3">
      <c r="B44" s="189"/>
      <c r="C44" s="301"/>
      <c r="D44" s="176"/>
      <c r="E44" s="176"/>
      <c r="F44" s="176"/>
      <c r="G44" s="176"/>
      <c r="H44" s="176"/>
      <c r="I44" s="176"/>
      <c r="J44" s="192"/>
      <c r="K44" s="176"/>
      <c r="L44" s="301"/>
      <c r="M44" s="181"/>
      <c r="N44" s="252"/>
      <c r="O44" s="252"/>
      <c r="P44" s="252"/>
      <c r="Q44" s="252"/>
      <c r="R44" s="252"/>
      <c r="S44" s="192"/>
      <c r="T44" s="374"/>
    </row>
    <row r="45" spans="2:20" ht="18" x14ac:dyDescent="0.3">
      <c r="B45" s="189"/>
      <c r="C45" s="302"/>
      <c r="D45" s="176"/>
      <c r="E45" s="176"/>
      <c r="F45" s="176"/>
      <c r="G45" s="176"/>
      <c r="H45" s="176"/>
      <c r="I45" s="176"/>
      <c r="J45" s="193"/>
      <c r="K45" s="176"/>
      <c r="L45" s="302"/>
      <c r="M45" s="251" t="s">
        <v>101</v>
      </c>
      <c r="N45" s="188"/>
      <c r="O45" s="188"/>
      <c r="P45" s="188"/>
      <c r="Q45" s="185"/>
      <c r="R45" s="118"/>
      <c r="S45" s="193"/>
      <c r="T45" s="374"/>
    </row>
    <row r="46" spans="2:20" ht="36.75" customHeight="1" x14ac:dyDescent="0.3">
      <c r="B46" s="189"/>
      <c r="C46" s="302"/>
      <c r="D46" s="176"/>
      <c r="E46" s="176"/>
      <c r="F46" s="176"/>
      <c r="G46" s="176"/>
      <c r="H46" s="176"/>
      <c r="I46" s="176"/>
      <c r="J46" s="193"/>
      <c r="K46" s="176"/>
      <c r="L46" s="302"/>
      <c r="M46" s="479" t="s">
        <v>147</v>
      </c>
      <c r="N46" s="479"/>
      <c r="O46" s="479"/>
      <c r="P46" s="346"/>
      <c r="Q46" s="611">
        <f>IFERROR(AVERAGE(Q11,Q41),"TBD")</f>
        <v>44375</v>
      </c>
      <c r="R46" s="612"/>
      <c r="S46" s="193"/>
      <c r="T46" s="374"/>
    </row>
    <row r="47" spans="2:20" ht="6" customHeight="1" x14ac:dyDescent="0.3">
      <c r="B47" s="189"/>
      <c r="C47" s="302"/>
      <c r="D47" s="176"/>
      <c r="E47" s="176"/>
      <c r="F47" s="176"/>
      <c r="G47" s="176"/>
      <c r="H47" s="176"/>
      <c r="I47" s="176"/>
      <c r="J47" s="193"/>
      <c r="K47" s="176"/>
      <c r="L47" s="302"/>
      <c r="M47" s="180"/>
      <c r="N47" s="247"/>
      <c r="O47" s="248"/>
      <c r="P47" s="248"/>
      <c r="Q47" s="176"/>
      <c r="R47" s="225"/>
      <c r="S47" s="193"/>
      <c r="T47" s="374"/>
    </row>
    <row r="48" spans="2:20" ht="24" customHeight="1" x14ac:dyDescent="0.3">
      <c r="B48" s="189"/>
      <c r="C48" s="302"/>
      <c r="D48" s="176"/>
      <c r="E48" s="176"/>
      <c r="F48" s="176"/>
      <c r="G48" s="176"/>
      <c r="H48" s="176"/>
      <c r="I48" s="176"/>
      <c r="J48" s="193"/>
      <c r="K48" s="176"/>
      <c r="L48" s="302"/>
      <c r="M48" s="479" t="s">
        <v>149</v>
      </c>
      <c r="N48" s="479"/>
      <c r="O48" s="479"/>
      <c r="P48" s="479"/>
      <c r="Q48" s="602">
        <f>IFERROR((Q11/Q17)*1.15,"TBD")</f>
        <v>11500</v>
      </c>
      <c r="R48" s="603"/>
      <c r="S48" s="193"/>
      <c r="T48" s="374"/>
    </row>
    <row r="49" spans="2:20" ht="8.25" customHeight="1" x14ac:dyDescent="0.3">
      <c r="B49" s="189"/>
      <c r="C49" s="302"/>
      <c r="D49" s="176"/>
      <c r="E49" s="176"/>
      <c r="F49" s="176"/>
      <c r="G49" s="176"/>
      <c r="H49" s="176"/>
      <c r="I49" s="176"/>
      <c r="J49" s="193"/>
      <c r="K49" s="176"/>
      <c r="L49" s="302"/>
      <c r="M49" s="479"/>
      <c r="N49" s="479"/>
      <c r="O49" s="479"/>
      <c r="P49" s="479"/>
      <c r="Q49" s="176"/>
      <c r="R49" s="225"/>
      <c r="S49" s="193"/>
      <c r="T49" s="374"/>
    </row>
    <row r="50" spans="2:20" ht="21" x14ac:dyDescent="0.3">
      <c r="B50" s="189"/>
      <c r="C50" s="302"/>
      <c r="D50" s="176"/>
      <c r="E50" s="176"/>
      <c r="F50" s="176"/>
      <c r="G50" s="176"/>
      <c r="H50" s="176"/>
      <c r="I50" s="176"/>
      <c r="J50" s="193"/>
      <c r="K50" s="176"/>
      <c r="L50" s="302"/>
      <c r="M50" s="176"/>
      <c r="N50" s="185"/>
      <c r="O50" s="352" t="s">
        <v>67</v>
      </c>
      <c r="P50" s="352"/>
      <c r="Q50" s="609">
        <f>IF(Q46=0,"TBD",IF(Q48=0,"TBD",MIN(Q46,Q48)))</f>
        <v>11500</v>
      </c>
      <c r="R50" s="610"/>
      <c r="S50" s="193"/>
      <c r="T50" s="374"/>
    </row>
    <row r="51" spans="2:20" ht="18" x14ac:dyDescent="0.3">
      <c r="B51" s="189"/>
      <c r="C51" s="303"/>
      <c r="D51" s="200"/>
      <c r="E51" s="203"/>
      <c r="F51" s="203"/>
      <c r="G51" s="203"/>
      <c r="H51" s="203"/>
      <c r="I51" s="207"/>
      <c r="J51" s="304"/>
      <c r="K51" s="176"/>
      <c r="L51" s="303"/>
      <c r="M51" s="200"/>
      <c r="N51" s="203"/>
      <c r="O51" s="203"/>
      <c r="P51" s="203"/>
      <c r="Q51" s="203"/>
      <c r="R51" s="207"/>
      <c r="S51" s="304"/>
      <c r="T51" s="374"/>
    </row>
    <row r="52" spans="2:20" x14ac:dyDescent="0.3">
      <c r="B52" s="189"/>
      <c r="C52" s="176"/>
      <c r="D52" s="176"/>
      <c r="E52" s="176"/>
      <c r="F52" s="176"/>
      <c r="G52" s="176"/>
      <c r="H52" s="176"/>
      <c r="I52" s="176"/>
      <c r="J52" s="176"/>
      <c r="K52" s="176"/>
      <c r="L52" s="176"/>
      <c r="M52" s="176"/>
      <c r="N52" s="176"/>
      <c r="O52" s="176"/>
      <c r="P52" s="176"/>
      <c r="Q52" s="176"/>
      <c r="R52" s="176"/>
      <c r="S52" s="176"/>
      <c r="T52" s="374"/>
    </row>
    <row r="53" spans="2:20" x14ac:dyDescent="0.3">
      <c r="B53" s="199"/>
      <c r="C53" s="200"/>
      <c r="D53" s="200"/>
      <c r="E53" s="200"/>
      <c r="F53" s="200"/>
      <c r="G53" s="200"/>
      <c r="H53" s="200"/>
      <c r="I53" s="200"/>
      <c r="J53" s="200"/>
      <c r="K53" s="200"/>
      <c r="L53" s="200"/>
      <c r="M53" s="200"/>
      <c r="N53" s="200"/>
      <c r="O53" s="200"/>
      <c r="P53" s="200"/>
      <c r="Q53" s="200"/>
      <c r="R53" s="200"/>
      <c r="S53" s="200"/>
      <c r="T53" s="375"/>
    </row>
  </sheetData>
  <mergeCells count="52">
    <mergeCell ref="D11:F11"/>
    <mergeCell ref="H11:I11"/>
    <mergeCell ref="Q17:R17"/>
    <mergeCell ref="M17:O17"/>
    <mergeCell ref="M46:O46"/>
    <mergeCell ref="Q41:R41"/>
    <mergeCell ref="M43:R43"/>
    <mergeCell ref="Q4:R4"/>
    <mergeCell ref="M48:P49"/>
    <mergeCell ref="Q31:R31"/>
    <mergeCell ref="Q29:R29"/>
    <mergeCell ref="Q25:R25"/>
    <mergeCell ref="Q23:R23"/>
    <mergeCell ref="M11:O11"/>
    <mergeCell ref="Q11:R11"/>
    <mergeCell ref="M13:O13"/>
    <mergeCell ref="Q13:R13"/>
    <mergeCell ref="M15:R15"/>
    <mergeCell ref="L20:R20"/>
    <mergeCell ref="L19:O19"/>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21"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20" priority="20">
      <formula>$H$84="Expense Factor"</formula>
    </cfRule>
  </conditionalFormatting>
  <conditionalFormatting sqref="H11">
    <cfRule type="expression" dxfId="19" priority="13">
      <formula>$O$36="Personal"</formula>
    </cfRule>
  </conditionalFormatting>
  <conditionalFormatting sqref="H11">
    <cfRule type="expression" dxfId="18" priority="12">
      <formula>$H$84="Expense Factor"</formula>
    </cfRule>
  </conditionalFormatting>
  <conditionalFormatting sqref="H13">
    <cfRule type="expression" dxfId="17" priority="11">
      <formula>$O$36="Personal"</formula>
    </cfRule>
  </conditionalFormatting>
  <conditionalFormatting sqref="H13">
    <cfRule type="expression" dxfId="16" priority="10">
      <formula>$H$84="Expense Factor"</formula>
    </cfRule>
  </conditionalFormatting>
  <conditionalFormatting sqref="Q11">
    <cfRule type="expression" dxfId="15" priority="9">
      <formula>$O$36="Personal"</formula>
    </cfRule>
  </conditionalFormatting>
  <conditionalFormatting sqref="Q11">
    <cfRule type="expression" dxfId="14" priority="8">
      <formula>$H$84="Expense Factor"</formula>
    </cfRule>
  </conditionalFormatting>
  <conditionalFormatting sqref="M15">
    <cfRule type="expression" dxfId="13" priority="3">
      <formula>$H$84="Expense Factor"</formula>
    </cfRule>
  </conditionalFormatting>
  <conditionalFormatting sqref="Q4">
    <cfRule type="expression" dxfId="12" priority="2">
      <formula>$O$36="Personal"</formula>
    </cfRule>
  </conditionalFormatting>
  <conditionalFormatting sqref="Q4">
    <cfRule type="expression" dxfId="11" priority="1">
      <formula>$H$84="Expense Factor"</formula>
    </cfRule>
  </conditionalFormatting>
  <dataValidations count="1">
    <dataValidation type="whole" allowBlank="1" showInputMessage="1" showErrorMessage="1" sqref="Q17:R17">
      <formula1>1</formula1>
      <formula2>12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3"/>
  <sheetViews>
    <sheetView showGridLines="0" topLeftCell="A48" zoomScaleNormal="100" workbookViewId="0">
      <selection activeCell="J61" sqref="J61"/>
    </sheetView>
  </sheetViews>
  <sheetFormatPr defaultColWidth="8.88671875" defaultRowHeight="14.4" x14ac:dyDescent="0.3"/>
  <cols>
    <col min="1" max="1" width="3.109375" style="2" customWidth="1"/>
    <col min="2" max="2" width="9" style="2" customWidth="1"/>
    <col min="3" max="3" width="20.6640625" style="2" customWidth="1"/>
    <col min="4" max="4" width="19.6640625" style="2" customWidth="1"/>
    <col min="5" max="5" width="21.33203125" style="2" customWidth="1"/>
    <col min="6" max="6" width="2.109375" style="2" customWidth="1"/>
    <col min="7" max="7" width="18" style="2" customWidth="1"/>
    <col min="8" max="8" width="3.33203125" style="2" customWidth="1"/>
    <col min="9" max="9" width="6.33203125" style="2" customWidth="1"/>
    <col min="10" max="10" width="31.6640625" style="2" customWidth="1"/>
    <col min="11" max="11" width="19.109375" style="2" customWidth="1"/>
    <col min="12" max="12" width="7.5546875" style="2" customWidth="1"/>
    <col min="13" max="13" width="18.88671875" style="2" customWidth="1"/>
    <col min="14" max="14" width="11.5546875" style="2" bestFit="1" customWidth="1"/>
    <col min="15" max="16384" width="8.88671875" style="2"/>
  </cols>
  <sheetData>
    <row r="1" spans="1:18" ht="8.4" customHeight="1" x14ac:dyDescent="0.3">
      <c r="A1" s="1"/>
      <c r="B1" s="8"/>
      <c r="C1" s="8"/>
      <c r="D1" s="8"/>
      <c r="E1" s="8"/>
      <c r="F1" s="8"/>
      <c r="G1" s="20"/>
      <c r="H1" s="20"/>
      <c r="I1" s="20"/>
      <c r="J1" s="61"/>
      <c r="K1" s="1"/>
      <c r="L1" s="1"/>
    </row>
    <row r="2" spans="1:18" ht="28.5" customHeight="1" x14ac:dyDescent="0.3">
      <c r="A2" s="1"/>
      <c r="B2" s="65" t="s">
        <v>28</v>
      </c>
      <c r="C2" s="1"/>
      <c r="D2" s="1"/>
      <c r="E2" s="1"/>
      <c r="F2" s="1"/>
      <c r="G2" s="129"/>
      <c r="H2" s="1"/>
      <c r="I2" s="1"/>
      <c r="J2" s="35"/>
      <c r="K2" s="1"/>
      <c r="L2" s="1"/>
    </row>
    <row r="3" spans="1:18" ht="5.4" customHeight="1" thickBot="1" x14ac:dyDescent="0.35">
      <c r="A3" s="1"/>
      <c r="B3" s="24"/>
      <c r="C3" s="1"/>
      <c r="D3" s="1"/>
      <c r="E3" s="1"/>
      <c r="F3" s="1"/>
      <c r="G3" s="3"/>
      <c r="H3" s="3"/>
      <c r="I3" s="3"/>
      <c r="J3" s="35"/>
      <c r="K3" s="1"/>
      <c r="L3" s="1"/>
    </row>
    <row r="4" spans="1:18" ht="23.25" customHeight="1" x14ac:dyDescent="0.3">
      <c r="B4" s="633" t="s">
        <v>25</v>
      </c>
      <c r="C4" s="634"/>
      <c r="D4" s="634"/>
      <c r="E4" s="634"/>
      <c r="F4" s="634"/>
      <c r="G4" s="634"/>
      <c r="H4" s="634"/>
      <c r="I4" s="635"/>
      <c r="J4" s="64"/>
      <c r="K4" s="1"/>
      <c r="L4" s="1"/>
      <c r="M4" s="66"/>
    </row>
    <row r="5" spans="1:18" ht="9" customHeight="1" thickBot="1" x14ac:dyDescent="0.35">
      <c r="B5" s="636"/>
      <c r="C5" s="637"/>
      <c r="D5" s="637"/>
      <c r="E5" s="637"/>
      <c r="F5" s="637"/>
      <c r="G5" s="637"/>
      <c r="H5" s="637"/>
      <c r="I5" s="638"/>
      <c r="J5" s="64"/>
      <c r="K5" s="1"/>
      <c r="L5" s="1"/>
    </row>
    <row r="6" spans="1:18" ht="36" customHeight="1" x14ac:dyDescent="0.3">
      <c r="B6" s="645" t="e">
        <f>IF(#REF!="Business",Admin!E3,IF(#REF!="Personal",Admin!E4,Admin!E5))</f>
        <v>#REF!</v>
      </c>
      <c r="C6" s="646"/>
      <c r="D6" s="646"/>
      <c r="E6" s="646"/>
      <c r="F6" s="646"/>
      <c r="G6" s="646"/>
      <c r="H6" s="646"/>
      <c r="I6" s="647"/>
      <c r="J6" s="62"/>
      <c r="K6" s="1"/>
      <c r="L6" s="1"/>
    </row>
    <row r="7" spans="1:18" ht="12.75" customHeight="1" x14ac:dyDescent="0.3">
      <c r="B7" s="133"/>
      <c r="C7" s="71"/>
      <c r="D7" s="71"/>
      <c r="E7" s="71"/>
      <c r="F7" s="71"/>
      <c r="G7" s="71"/>
      <c r="H7" s="71"/>
      <c r="I7" s="72"/>
      <c r="J7" s="63"/>
      <c r="K7" s="1"/>
      <c r="L7" s="1"/>
    </row>
    <row r="8" spans="1:18" ht="42" customHeight="1" thickBot="1" x14ac:dyDescent="0.35">
      <c r="B8" s="648" t="s">
        <v>60</v>
      </c>
      <c r="C8" s="649"/>
      <c r="D8" s="649"/>
      <c r="E8" s="649"/>
      <c r="F8" s="649"/>
      <c r="G8" s="649"/>
      <c r="H8" s="649"/>
      <c r="I8" s="650"/>
    </row>
    <row r="9" spans="1:18" ht="21.6" customHeight="1" x14ac:dyDescent="0.3">
      <c r="B9" s="639" t="e">
        <f xml:space="preserve"> IF(#REF!="Personal","This section is not required for Personal, proceed to results section below.",IF(#REF!="Please enter at least 12 months of deposits", "During the most recent TBD months…", "During the most recent "&amp;#REF!&amp; " months…"))</f>
        <v>#REF!</v>
      </c>
      <c r="C9" s="640"/>
      <c r="D9" s="640"/>
      <c r="E9" s="640"/>
      <c r="F9" s="640"/>
      <c r="G9" s="640"/>
      <c r="H9" s="640"/>
      <c r="I9" s="641"/>
      <c r="J9" s="1"/>
    </row>
    <row r="10" spans="1:18" ht="29.25" customHeight="1" x14ac:dyDescent="0.3">
      <c r="B10" s="642"/>
      <c r="C10" s="643"/>
      <c r="D10" s="643"/>
      <c r="E10" s="643"/>
      <c r="F10" s="643"/>
      <c r="G10" s="643"/>
      <c r="H10" s="643"/>
      <c r="I10" s="644"/>
      <c r="J10" s="98"/>
      <c r="K10" s="99"/>
      <c r="L10" s="1"/>
    </row>
    <row r="11" spans="1:18" ht="8.4" customHeight="1" x14ac:dyDescent="0.35">
      <c r="B11" s="21"/>
      <c r="C11" s="34"/>
      <c r="D11" s="34"/>
      <c r="E11" s="1"/>
      <c r="F11" s="35"/>
      <c r="G11" s="1"/>
      <c r="H11" s="4"/>
      <c r="I11" s="31"/>
      <c r="J11" s="98"/>
      <c r="K11" s="99"/>
      <c r="L11" s="1"/>
    </row>
    <row r="12" spans="1:18" ht="9" customHeight="1" x14ac:dyDescent="0.3">
      <c r="B12" s="651" t="s">
        <v>42</v>
      </c>
      <c r="C12" s="652"/>
      <c r="D12" s="652"/>
      <c r="E12" s="652"/>
      <c r="F12" s="652"/>
      <c r="G12" s="1"/>
      <c r="H12" s="1"/>
      <c r="I12" s="11"/>
      <c r="J12" s="98"/>
      <c r="K12" s="99"/>
      <c r="P12" s="63"/>
      <c r="Q12" s="1"/>
      <c r="R12" s="1"/>
    </row>
    <row r="13" spans="1:18" ht="32.25" customHeight="1" x14ac:dyDescent="0.3">
      <c r="B13" s="651"/>
      <c r="C13" s="652"/>
      <c r="D13" s="652"/>
      <c r="E13" s="652"/>
      <c r="F13" s="652"/>
      <c r="G13" s="119"/>
      <c r="H13" s="36"/>
      <c r="I13" s="57"/>
      <c r="J13" s="98"/>
      <c r="K13" s="99"/>
      <c r="O13" s="1"/>
      <c r="P13" s="134"/>
      <c r="Q13" s="42" t="e">
        <f>IF(BT="","",IF(BT="Personal","N/A",IF((OR(G13&lt;1,AMD&lt;1)),"N/A",IF(ABS(AMD-($G$13/12))&lt;=0.1*($G$13/12),"YES","NO"))))</f>
        <v>#REF!</v>
      </c>
      <c r="R13" s="42" t="e">
        <f>IF(BT="","",IF(BT="Personal","N/A",IF((OR(H13&lt;1,AMD&lt;1)),"N/A",IF(ABS(AMD-($G$13/12))&lt;=0.1*($G$13/12),"YES","NO"))))</f>
        <v>#REF!</v>
      </c>
    </row>
    <row r="14" spans="1:18" ht="27" customHeight="1" x14ac:dyDescent="0.35">
      <c r="B14" s="667" t="s">
        <v>56</v>
      </c>
      <c r="C14" s="668"/>
      <c r="D14" s="668"/>
      <c r="E14" s="668"/>
      <c r="F14" s="668"/>
      <c r="G14" s="5"/>
      <c r="H14" s="36"/>
      <c r="I14" s="57"/>
      <c r="P14" s="134"/>
      <c r="Q14" s="37" t="e">
        <f>IF(BT="","",IF(BT="Business","N/A",IF((OR(G13&lt;1,AMD&lt;1)),"N/A",IF(ABS(AMD-$H$50)&lt;=0.1*H50,"YES", "NO"))))</f>
        <v>#REF!</v>
      </c>
      <c r="R14" s="37" t="e">
        <f>IF(BT="","",IF(BT="Business","N/A",IF((OR(H13&lt;1,AMD&lt;1)),"N/A",IF(ABS(AMD-$H$50)&lt;=0.1*#REF!,"YES", "NO"))))</f>
        <v>#REF!</v>
      </c>
    </row>
    <row r="15" spans="1:18" ht="18" x14ac:dyDescent="0.35">
      <c r="B15" s="9"/>
      <c r="C15" s="1"/>
      <c r="D15" s="675" t="s">
        <v>0</v>
      </c>
      <c r="E15" s="675"/>
      <c r="F15" s="121"/>
      <c r="G15" s="116"/>
      <c r="H15" s="36"/>
      <c r="I15" s="57"/>
      <c r="J15" s="673" t="e">
        <f>IF(AND(OR(#REF!="Sells Goods",#REF!= "Both"),OR(G15="", G15&lt;1)),"Your borrower sells goods, please enter COGS to the left!","")</f>
        <v>#REF!</v>
      </c>
      <c r="K15" s="674"/>
      <c r="L15" s="674"/>
      <c r="P15" s="134"/>
      <c r="Q15" s="37"/>
      <c r="R15" s="37"/>
    </row>
    <row r="16" spans="1:18" ht="26.25" customHeight="1" x14ac:dyDescent="0.35">
      <c r="B16" s="22"/>
      <c r="C16" s="1"/>
      <c r="D16" s="676" t="s">
        <v>1</v>
      </c>
      <c r="E16" s="676"/>
      <c r="F16" s="120"/>
      <c r="G16" s="116"/>
      <c r="H16" s="36"/>
      <c r="I16" s="57"/>
      <c r="J16" s="671" t="e">
        <f>IF(AND(#REF!="Yes",OR(G16="", G16&lt;1)),"Your borrower has employees, please enter wages to the left!","")</f>
        <v>#REF!</v>
      </c>
      <c r="K16" s="672"/>
      <c r="L16" s="672"/>
      <c r="P16" s="59"/>
      <c r="Q16" s="1"/>
      <c r="R16" s="1"/>
    </row>
    <row r="17" spans="1:14" ht="20.25" customHeight="1" x14ac:dyDescent="0.35">
      <c r="B17" s="22"/>
      <c r="C17" s="1"/>
      <c r="D17" s="677" t="s">
        <v>34</v>
      </c>
      <c r="E17" s="678"/>
      <c r="F17" s="121"/>
      <c r="G17" s="116"/>
      <c r="H17" s="36"/>
      <c r="I17" s="57"/>
      <c r="J17" s="669" t="e">
        <f>IF(AND(#REF!="Yes",OR(G17="", G17&lt;1)),"Your borrower leases space, please enter rent to the left","")</f>
        <v>#REF!</v>
      </c>
      <c r="K17" s="670"/>
      <c r="L17" s="670"/>
    </row>
    <row r="18" spans="1:14" ht="18" x14ac:dyDescent="0.35">
      <c r="B18" s="22"/>
      <c r="C18" s="1"/>
      <c r="D18" s="665" t="s">
        <v>43</v>
      </c>
      <c r="E18" s="666"/>
      <c r="F18" s="120"/>
      <c r="G18" s="116"/>
      <c r="H18" s="36"/>
      <c r="I18" s="57"/>
      <c r="J18" s="87"/>
      <c r="K18" s="87"/>
    </row>
    <row r="19" spans="1:14" ht="18" x14ac:dyDescent="0.35">
      <c r="B19" s="22"/>
      <c r="C19" s="28"/>
      <c r="D19" s="28" t="s">
        <v>5</v>
      </c>
      <c r="E19" s="32"/>
      <c r="F19" s="120"/>
      <c r="G19" s="117"/>
      <c r="H19" s="36"/>
      <c r="I19" s="57"/>
      <c r="J19" s="73"/>
      <c r="K19" s="73"/>
    </row>
    <row r="20" spans="1:14" ht="18" x14ac:dyDescent="0.35">
      <c r="B20" s="22"/>
      <c r="C20" s="28"/>
      <c r="D20" s="28" t="s">
        <v>5</v>
      </c>
      <c r="E20" s="32"/>
      <c r="F20" s="120"/>
      <c r="G20" s="117"/>
      <c r="H20" s="36"/>
      <c r="I20" s="57"/>
      <c r="J20" s="58"/>
      <c r="K20" s="1"/>
      <c r="L20" s="1"/>
    </row>
    <row r="21" spans="1:14" ht="18" x14ac:dyDescent="0.35">
      <c r="B21" s="22"/>
      <c r="C21" s="28"/>
      <c r="D21" s="28" t="s">
        <v>5</v>
      </c>
      <c r="E21" s="32"/>
      <c r="F21" s="120"/>
      <c r="G21" s="117"/>
      <c r="H21" s="36"/>
      <c r="I21" s="57"/>
      <c r="J21" s="58"/>
      <c r="K21" s="1"/>
      <c r="L21" s="1"/>
    </row>
    <row r="22" spans="1:14" ht="18" x14ac:dyDescent="0.35">
      <c r="B22" s="22"/>
      <c r="C22" s="28"/>
      <c r="D22" s="28" t="s">
        <v>5</v>
      </c>
      <c r="E22" s="32"/>
      <c r="F22" s="120"/>
      <c r="G22" s="117"/>
      <c r="H22" s="36"/>
      <c r="I22" s="57"/>
      <c r="J22" s="58"/>
      <c r="K22" s="1"/>
      <c r="L22" s="1"/>
    </row>
    <row r="23" spans="1:14" ht="21.6" customHeight="1" x14ac:dyDescent="0.3">
      <c r="B23" s="9"/>
      <c r="C23" s="662" t="s">
        <v>7</v>
      </c>
      <c r="D23" s="662"/>
      <c r="E23" s="662"/>
      <c r="F23" s="662"/>
      <c r="G23" s="118">
        <f>SUM(G15:G22)</f>
        <v>0</v>
      </c>
      <c r="H23" s="36"/>
      <c r="I23" s="57"/>
      <c r="J23" s="58"/>
      <c r="K23" s="1"/>
      <c r="L23" s="1"/>
    </row>
    <row r="24" spans="1:14" ht="7.5" customHeight="1" x14ac:dyDescent="0.3">
      <c r="B24" s="9"/>
      <c r="C24" s="122"/>
      <c r="D24" s="122"/>
      <c r="E24" s="122"/>
      <c r="F24" s="122"/>
      <c r="G24" s="5"/>
      <c r="H24" s="36"/>
      <c r="I24" s="57"/>
      <c r="J24" s="58"/>
      <c r="K24" s="1"/>
      <c r="L24" s="1"/>
    </row>
    <row r="25" spans="1:14" ht="24" customHeight="1" x14ac:dyDescent="0.3">
      <c r="A25" s="11"/>
      <c r="B25" s="9"/>
      <c r="C25" s="122"/>
      <c r="D25" s="122"/>
      <c r="E25" s="122" t="s">
        <v>26</v>
      </c>
      <c r="F25" s="122"/>
      <c r="G25" s="115">
        <f>G13-G23</f>
        <v>0</v>
      </c>
      <c r="H25" s="36"/>
      <c r="I25" s="57"/>
      <c r="J25" s="58"/>
      <c r="K25" s="1"/>
      <c r="L25" s="1"/>
    </row>
    <row r="26" spans="1:14" ht="4.5" customHeight="1" x14ac:dyDescent="0.3">
      <c r="B26" s="9"/>
      <c r="C26" s="135"/>
      <c r="D26" s="135"/>
      <c r="E26" s="135"/>
      <c r="F26" s="135"/>
      <c r="G26" s="136"/>
      <c r="H26" s="36"/>
      <c r="I26" s="57"/>
      <c r="J26" s="58"/>
      <c r="K26" s="1"/>
      <c r="L26" s="1"/>
    </row>
    <row r="27" spans="1:14" ht="24" customHeight="1" x14ac:dyDescent="0.3">
      <c r="A27" s="11"/>
      <c r="B27" s="9"/>
      <c r="C27" s="122"/>
      <c r="D27" s="122"/>
      <c r="E27" s="122" t="s">
        <v>39</v>
      </c>
      <c r="F27" s="122"/>
      <c r="G27" s="115" t="e">
        <f>G25*(#REF!)</f>
        <v>#REF!</v>
      </c>
      <c r="H27" s="36"/>
      <c r="I27" s="57"/>
      <c r="J27" s="58"/>
      <c r="K27" s="1"/>
      <c r="L27" s="1"/>
      <c r="N27" s="128"/>
    </row>
    <row r="28" spans="1:14" ht="21.6" customHeight="1" x14ac:dyDescent="0.3">
      <c r="B28" s="9"/>
      <c r="C28" s="140"/>
      <c r="D28" s="140"/>
      <c r="E28" s="140"/>
      <c r="F28" s="140"/>
      <c r="G28" s="5"/>
      <c r="H28" s="36"/>
      <c r="I28" s="33"/>
      <c r="J28" s="43"/>
      <c r="K28" s="1"/>
      <c r="L28" s="1"/>
    </row>
    <row r="29" spans="1:14" ht="18.75" customHeight="1" x14ac:dyDescent="0.35">
      <c r="B29" s="9"/>
      <c r="C29" s="34"/>
      <c r="D29" s="34"/>
      <c r="E29" s="34"/>
      <c r="F29" s="34"/>
      <c r="G29" s="5"/>
      <c r="H29" s="3"/>
      <c r="I29" s="57"/>
      <c r="J29" s="68"/>
      <c r="K29" s="68"/>
      <c r="L29" s="68"/>
    </row>
    <row r="30" spans="1:14" ht="18.75" customHeight="1" thickBot="1" x14ac:dyDescent="0.4">
      <c r="B30" s="663" t="s">
        <v>54</v>
      </c>
      <c r="C30" s="476"/>
      <c r="D30" s="476"/>
      <c r="E30" s="39"/>
      <c r="F30" s="39"/>
      <c r="G30" s="39"/>
      <c r="H30" s="39"/>
      <c r="I30" s="57"/>
      <c r="J30" s="68"/>
      <c r="K30" s="68"/>
      <c r="L30" s="68"/>
    </row>
    <row r="31" spans="1:14" ht="18.75" customHeight="1" thickBot="1" x14ac:dyDescent="0.4">
      <c r="B31" s="18"/>
      <c r="C31" s="39"/>
      <c r="D31" s="39"/>
      <c r="E31" s="39"/>
      <c r="F31" s="39"/>
      <c r="G31" s="40"/>
      <c r="H31" s="41"/>
      <c r="I31" s="60"/>
      <c r="J31" s="68"/>
      <c r="K31" s="68"/>
      <c r="L31" s="68"/>
    </row>
    <row r="32" spans="1:14" ht="9.75" customHeight="1" x14ac:dyDescent="0.35">
      <c r="B32" s="29"/>
      <c r="C32" s="30"/>
      <c r="D32" s="30"/>
      <c r="E32" s="30"/>
      <c r="F32" s="30"/>
      <c r="G32" s="30"/>
      <c r="H32" s="44"/>
      <c r="I32" s="95"/>
      <c r="J32" s="58"/>
      <c r="K32" s="1"/>
      <c r="L32" s="1"/>
    </row>
    <row r="33" spans="2:19" ht="21.6" customHeight="1" x14ac:dyDescent="0.35">
      <c r="B33" s="110"/>
      <c r="C33" s="629" t="e">
        <f>IF(#REF!="Business", IF(G23="0","Please enter expenses for the business above.", "The business' expense ratio is "&amp;(ROUND((((IFERROR((G13-(G13-G23))/G13,0))*100)),0))&amp;"%."), "")</f>
        <v>#REF!</v>
      </c>
      <c r="D33" s="629"/>
      <c r="E33" s="629"/>
      <c r="F33" s="629"/>
      <c r="G33" s="629"/>
      <c r="H33" s="38"/>
      <c r="I33" s="57"/>
      <c r="J33" s="679"/>
      <c r="K33" s="679"/>
    </row>
    <row r="34" spans="2:19" ht="6.75" customHeight="1" x14ac:dyDescent="0.35">
      <c r="B34" s="9"/>
      <c r="C34" s="34"/>
      <c r="D34" s="34"/>
      <c r="E34" s="34"/>
      <c r="F34" s="34"/>
      <c r="G34" s="5"/>
      <c r="H34" s="38"/>
      <c r="I34" s="57"/>
      <c r="J34" s="679"/>
      <c r="K34" s="679"/>
    </row>
    <row r="35" spans="2:19" ht="36" customHeight="1" x14ac:dyDescent="0.35">
      <c r="B35" s="9"/>
      <c r="C35" s="628" t="e">
        <f>IF(#REF! ="Business", "Please describe the business and comment why the expense ratio is deemed reasonable:", "Please describe the business")</f>
        <v>#REF!</v>
      </c>
      <c r="D35" s="628"/>
      <c r="E35" s="628"/>
      <c r="F35" s="628"/>
      <c r="G35" s="628"/>
      <c r="H35" s="38"/>
      <c r="I35" s="57"/>
      <c r="J35" s="679"/>
      <c r="K35" s="679"/>
    </row>
    <row r="36" spans="2:19" ht="21.6" customHeight="1" x14ac:dyDescent="0.3">
      <c r="B36" s="9"/>
      <c r="C36" s="653"/>
      <c r="D36" s="654"/>
      <c r="E36" s="654"/>
      <c r="F36" s="654"/>
      <c r="G36" s="655"/>
      <c r="H36" s="38"/>
      <c r="I36" s="57"/>
      <c r="J36" s="679"/>
      <c r="K36" s="679"/>
    </row>
    <row r="37" spans="2:19" ht="21.6" customHeight="1" x14ac:dyDescent="0.3">
      <c r="B37" s="9"/>
      <c r="C37" s="656"/>
      <c r="D37" s="657"/>
      <c r="E37" s="657"/>
      <c r="F37" s="657"/>
      <c r="G37" s="658"/>
      <c r="H37" s="38"/>
      <c r="I37" s="57"/>
      <c r="J37" s="679"/>
      <c r="K37" s="679"/>
    </row>
    <row r="38" spans="2:19" ht="21.6" customHeight="1" x14ac:dyDescent="0.3">
      <c r="B38" s="9"/>
      <c r="C38" s="656"/>
      <c r="D38" s="657"/>
      <c r="E38" s="657"/>
      <c r="F38" s="657"/>
      <c r="G38" s="658"/>
      <c r="H38" s="38"/>
      <c r="I38" s="57"/>
      <c r="J38" s="679"/>
      <c r="K38" s="679"/>
    </row>
    <row r="39" spans="2:19" ht="21.6" customHeight="1" x14ac:dyDescent="0.3">
      <c r="B39" s="9"/>
      <c r="C39" s="659"/>
      <c r="D39" s="660"/>
      <c r="E39" s="660"/>
      <c r="F39" s="660"/>
      <c r="G39" s="661"/>
      <c r="H39" s="38"/>
      <c r="I39" s="57"/>
      <c r="J39" s="679"/>
      <c r="K39" s="679"/>
    </row>
    <row r="40" spans="2:19" ht="18.75" customHeight="1" thickBot="1" x14ac:dyDescent="0.4">
      <c r="B40" s="18"/>
      <c r="C40" s="39"/>
      <c r="D40" s="39"/>
      <c r="E40" s="39"/>
      <c r="F40" s="39"/>
      <c r="G40" s="40"/>
      <c r="H40" s="41"/>
      <c r="I40" s="60"/>
      <c r="J40" s="68"/>
      <c r="K40" s="68"/>
      <c r="L40" s="68"/>
    </row>
    <row r="41" spans="2:19" ht="21" x14ac:dyDescent="0.35">
      <c r="B41" s="630" t="s">
        <v>21</v>
      </c>
      <c r="C41" s="631"/>
      <c r="D41" s="631"/>
      <c r="E41" s="631"/>
      <c r="F41" s="631"/>
      <c r="G41" s="631"/>
      <c r="H41" s="631"/>
      <c r="I41" s="632"/>
      <c r="J41" s="2" t="s">
        <v>4</v>
      </c>
      <c r="K41" s="7"/>
      <c r="L41" s="7"/>
      <c r="M41" s="7"/>
      <c r="N41" s="7"/>
      <c r="O41" s="7"/>
      <c r="P41" s="7"/>
      <c r="Q41" s="7"/>
      <c r="R41" s="7"/>
      <c r="S41" s="7"/>
    </row>
    <row r="42" spans="2:19" ht="7.5" customHeight="1" x14ac:dyDescent="0.35">
      <c r="B42" s="142"/>
      <c r="C42" s="141"/>
      <c r="D42" s="141"/>
      <c r="E42" s="141"/>
      <c r="F42" s="141"/>
      <c r="G42" s="141"/>
      <c r="H42" s="141"/>
      <c r="I42" s="143"/>
      <c r="K42" s="7"/>
      <c r="L42" s="7"/>
      <c r="M42" s="7"/>
      <c r="N42" s="7"/>
      <c r="O42" s="7"/>
      <c r="P42" s="7"/>
      <c r="Q42" s="7"/>
      <c r="R42" s="7"/>
      <c r="S42" s="7"/>
    </row>
    <row r="43" spans="2:19" ht="21" x14ac:dyDescent="0.35">
      <c r="B43" s="142"/>
      <c r="C43" s="148" t="s">
        <v>61</v>
      </c>
      <c r="D43" s="141"/>
      <c r="F43" s="141"/>
      <c r="G43" s="147" t="str">
        <f>IFERROR(#REF!,"TBD")</f>
        <v>TBD</v>
      </c>
      <c r="H43" s="141"/>
      <c r="I43" s="143"/>
      <c r="K43" s="7"/>
      <c r="L43" s="7"/>
      <c r="M43" s="7"/>
      <c r="N43" s="7"/>
      <c r="O43" s="7"/>
      <c r="P43" s="7"/>
      <c r="Q43" s="7"/>
      <c r="R43" s="7"/>
      <c r="S43" s="7"/>
    </row>
    <row r="44" spans="2:19" ht="6.75" customHeight="1" x14ac:dyDescent="0.35">
      <c r="B44" s="142"/>
      <c r="C44" s="148"/>
      <c r="D44" s="141"/>
      <c r="E44" s="141"/>
      <c r="F44" s="141"/>
      <c r="G44" s="141"/>
      <c r="H44" s="141"/>
      <c r="I44" s="143"/>
      <c r="K44" s="7"/>
      <c r="L44" s="7"/>
      <c r="M44" s="7"/>
      <c r="N44" s="7"/>
      <c r="O44" s="7"/>
      <c r="P44" s="7"/>
      <c r="Q44" s="7"/>
      <c r="R44" s="7"/>
      <c r="S44" s="7"/>
    </row>
    <row r="45" spans="2:19" ht="21" x14ac:dyDescent="0.35">
      <c r="B45" s="142"/>
      <c r="C45" s="148" t="s">
        <v>58</v>
      </c>
      <c r="D45" s="141"/>
      <c r="F45" s="141"/>
      <c r="G45" s="147" t="str">
        <f>IFERROR(((#REF!+#REF!)/MosReq)*Ownership,"TBD")</f>
        <v>TBD</v>
      </c>
      <c r="H45" s="141"/>
      <c r="I45" s="143"/>
      <c r="K45" s="7"/>
      <c r="L45" s="7"/>
      <c r="M45" s="7"/>
      <c r="N45" s="7"/>
      <c r="O45" s="7"/>
      <c r="P45" s="7"/>
      <c r="Q45" s="7"/>
      <c r="R45" s="7"/>
      <c r="S45" s="7"/>
    </row>
    <row r="46" spans="2:19" ht="6.75" customHeight="1" x14ac:dyDescent="0.35">
      <c r="B46" s="142"/>
      <c r="C46" s="148"/>
      <c r="D46" s="141"/>
      <c r="E46" s="141"/>
      <c r="F46" s="141"/>
      <c r="G46" s="141"/>
      <c r="H46" s="141"/>
      <c r="I46" s="143"/>
      <c r="K46" s="7"/>
      <c r="L46" s="7"/>
      <c r="M46" s="7"/>
      <c r="N46" s="7"/>
      <c r="O46" s="7"/>
      <c r="P46" s="7"/>
      <c r="Q46" s="7"/>
      <c r="R46" s="7"/>
      <c r="S46" s="7"/>
    </row>
    <row r="47" spans="2:19" ht="21" x14ac:dyDescent="0.35">
      <c r="B47" s="142"/>
      <c r="C47" s="148" t="s">
        <v>59</v>
      </c>
      <c r="D47" s="141"/>
      <c r="F47" s="141"/>
      <c r="G47" s="147" t="str">
        <f>IFERROR(IF(BT="Personal","N/A",G27/MosReq),"TBD")</f>
        <v>TBD</v>
      </c>
      <c r="H47" s="141"/>
      <c r="I47" s="143"/>
      <c r="K47" s="7"/>
      <c r="L47" s="7"/>
      <c r="M47" s="7"/>
      <c r="N47" s="7"/>
      <c r="O47" s="7"/>
      <c r="P47" s="7"/>
      <c r="Q47" s="7"/>
      <c r="R47" s="7"/>
      <c r="S47" s="7"/>
    </row>
    <row r="48" spans="2:19" ht="21.6" thickBot="1" x14ac:dyDescent="0.4">
      <c r="B48" s="144"/>
      <c r="C48" s="145"/>
      <c r="D48" s="145"/>
      <c r="E48" s="145"/>
      <c r="F48" s="145"/>
      <c r="G48" s="145"/>
      <c r="H48" s="145"/>
      <c r="I48" s="146"/>
      <c r="K48" s="7"/>
      <c r="L48" s="7"/>
      <c r="M48" s="7"/>
      <c r="N48" s="7"/>
      <c r="O48" s="7"/>
      <c r="P48" s="7"/>
      <c r="Q48" s="7"/>
      <c r="R48" s="7"/>
      <c r="S48" s="7"/>
    </row>
    <row r="49" spans="2:19" ht="40.5" customHeight="1" thickBot="1" x14ac:dyDescent="0.4">
      <c r="B49" s="680" t="s">
        <v>47</v>
      </c>
      <c r="C49" s="681"/>
      <c r="D49" s="680" t="s">
        <v>20</v>
      </c>
      <c r="E49" s="681"/>
      <c r="F49" s="700" t="s">
        <v>44</v>
      </c>
      <c r="G49" s="701"/>
      <c r="H49" s="701"/>
      <c r="I49" s="702"/>
      <c r="K49" s="7"/>
      <c r="L49" s="7"/>
      <c r="M49" s="7"/>
      <c r="N49" s="7"/>
      <c r="O49" s="7"/>
      <c r="P49" s="7"/>
      <c r="Q49" s="7"/>
      <c r="R49" s="7"/>
      <c r="S49" s="7"/>
    </row>
    <row r="50" spans="2:19" ht="33.75" customHeight="1" x14ac:dyDescent="0.35">
      <c r="B50" s="682"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683"/>
      <c r="D50" s="688" t="e">
        <f>IF(#REF!="Personal","Yes",IF(#REF!="Business",VLOOKUP(Admin!H4,Admin!$J$3:$K$5,2,0),VLOOKUP(Admin!I4,Admin!$J$3:$K$5,2,0)))</f>
        <v>#REF!</v>
      </c>
      <c r="E50" s="689"/>
      <c r="F50" s="694" t="e">
        <f>IF(IF(#REF!="Business",MIN('STEP 3 - Income Analysis'!G43,'STEP 3 - Income Analysis'!G47),MIN('STEP 3 - Income Analysis'!G43,'STEP 3 - Income Analysis'!G45))=0,"TBD",IF(#REF!="Business",MIN('STEP 3 - Income Analysis'!G43,'STEP 3 - Income Analysis'!G47),MIN('STEP 3 - Income Analysis'!G43,'STEP 3 - Income Analysis'!G45)))</f>
        <v>#REF!</v>
      </c>
      <c r="G50" s="694"/>
      <c r="H50" s="694"/>
      <c r="I50" s="695"/>
      <c r="K50" s="7"/>
      <c r="L50" s="7"/>
      <c r="M50" s="7"/>
      <c r="N50" s="7"/>
      <c r="O50" s="7"/>
      <c r="P50" s="7"/>
      <c r="Q50" s="7"/>
      <c r="R50" s="7"/>
      <c r="S50" s="7"/>
    </row>
    <row r="51" spans="2:19" ht="14.25" customHeight="1" x14ac:dyDescent="0.35">
      <c r="B51" s="684"/>
      <c r="C51" s="685"/>
      <c r="D51" s="690"/>
      <c r="E51" s="691"/>
      <c r="F51" s="696"/>
      <c r="G51" s="696"/>
      <c r="H51" s="696"/>
      <c r="I51" s="697"/>
      <c r="K51" s="7"/>
      <c r="L51" s="7"/>
      <c r="M51" s="7"/>
      <c r="N51" s="7"/>
      <c r="O51" s="7"/>
      <c r="P51" s="7"/>
      <c r="Q51" s="7"/>
      <c r="R51" s="7"/>
      <c r="S51" s="7"/>
    </row>
    <row r="52" spans="2:19" ht="18" customHeight="1" x14ac:dyDescent="0.35">
      <c r="B52" s="684"/>
      <c r="C52" s="685"/>
      <c r="D52" s="690"/>
      <c r="E52" s="691"/>
      <c r="F52" s="696"/>
      <c r="G52" s="696"/>
      <c r="H52" s="696"/>
      <c r="I52" s="697"/>
      <c r="K52" s="664"/>
      <c r="L52" s="664"/>
      <c r="M52" s="664"/>
      <c r="N52" s="7"/>
      <c r="O52" s="7"/>
      <c r="P52" s="7"/>
      <c r="Q52" s="7"/>
      <c r="R52" s="7"/>
      <c r="S52" s="7"/>
    </row>
    <row r="53" spans="2:19" ht="24" customHeight="1" x14ac:dyDescent="0.35">
      <c r="B53" s="684"/>
      <c r="C53" s="685"/>
      <c r="D53" s="690"/>
      <c r="E53" s="691"/>
      <c r="F53" s="696"/>
      <c r="G53" s="696"/>
      <c r="H53" s="696"/>
      <c r="I53" s="697"/>
      <c r="K53" s="664"/>
      <c r="L53" s="664"/>
      <c r="M53" s="664"/>
      <c r="N53" s="7"/>
      <c r="O53" s="7"/>
      <c r="P53" s="7"/>
      <c r="Q53" s="7"/>
      <c r="R53" s="7"/>
      <c r="S53" s="7"/>
    </row>
    <row r="54" spans="2:19" ht="24" customHeight="1" x14ac:dyDescent="0.35">
      <c r="B54" s="684"/>
      <c r="C54" s="685"/>
      <c r="D54" s="690"/>
      <c r="E54" s="691"/>
      <c r="F54" s="696"/>
      <c r="G54" s="696"/>
      <c r="H54" s="696"/>
      <c r="I54" s="697"/>
      <c r="K54" s="7"/>
      <c r="L54" s="7"/>
      <c r="M54" s="7"/>
      <c r="N54" s="7"/>
      <c r="O54" s="7"/>
      <c r="P54" s="7"/>
      <c r="Q54" s="7"/>
      <c r="R54" s="7"/>
      <c r="S54" s="7"/>
    </row>
    <row r="55" spans="2:19" ht="26.25" customHeight="1" x14ac:dyDescent="0.35">
      <c r="B55" s="684"/>
      <c r="C55" s="685"/>
      <c r="D55" s="690"/>
      <c r="E55" s="691"/>
      <c r="F55" s="696"/>
      <c r="G55" s="696"/>
      <c r="H55" s="696"/>
      <c r="I55" s="697"/>
      <c r="K55" s="7"/>
      <c r="L55" s="7"/>
      <c r="M55" s="7"/>
      <c r="N55" s="7"/>
      <c r="O55" s="7"/>
      <c r="P55" s="7"/>
      <c r="Q55" s="7"/>
      <c r="R55" s="7"/>
      <c r="S55" s="7"/>
    </row>
    <row r="56" spans="2:19" ht="38.25" customHeight="1" thickBot="1" x14ac:dyDescent="0.4">
      <c r="B56" s="686"/>
      <c r="C56" s="687"/>
      <c r="D56" s="692"/>
      <c r="E56" s="693"/>
      <c r="F56" s="698"/>
      <c r="G56" s="698"/>
      <c r="H56" s="698"/>
      <c r="I56" s="699"/>
      <c r="K56" s="7"/>
      <c r="L56" s="7"/>
      <c r="M56" s="7"/>
      <c r="N56" s="7"/>
      <c r="O56" s="7"/>
      <c r="P56" s="7"/>
      <c r="Q56" s="7"/>
      <c r="R56" s="7"/>
      <c r="S56" s="7"/>
    </row>
    <row r="58" spans="2:19" ht="15" customHeight="1" x14ac:dyDescent="0.3">
      <c r="B58" s="498" t="s">
        <v>57</v>
      </c>
      <c r="C58" s="498"/>
      <c r="D58" s="498"/>
      <c r="E58" s="498"/>
      <c r="F58" s="498"/>
      <c r="G58" s="498"/>
      <c r="H58" s="498"/>
      <c r="I58" s="498"/>
      <c r="J58" s="498"/>
      <c r="K58" s="498"/>
    </row>
    <row r="59" spans="2:19" ht="118.5" customHeight="1" x14ac:dyDescent="0.3">
      <c r="B59" s="498"/>
      <c r="C59" s="498"/>
      <c r="D59" s="498"/>
      <c r="E59" s="498"/>
      <c r="F59" s="498"/>
      <c r="G59" s="498"/>
      <c r="H59" s="498"/>
      <c r="I59" s="498"/>
      <c r="J59" s="498"/>
      <c r="K59" s="498"/>
    </row>
    <row r="60" spans="2:19" ht="15" customHeight="1" x14ac:dyDescent="0.3"/>
    <row r="61" spans="2:19" ht="15" customHeight="1" x14ac:dyDescent="0.3"/>
    <row r="62" spans="2:19" ht="15" customHeight="1" x14ac:dyDescent="0.3"/>
    <row r="63" spans="2:19" ht="15.75" customHeight="1" x14ac:dyDescent="0.3"/>
  </sheetData>
  <sheetProtection selectLockedCells="1"/>
  <mergeCells count="28">
    <mergeCell ref="J33:K39"/>
    <mergeCell ref="B49:C49"/>
    <mergeCell ref="B50:C56"/>
    <mergeCell ref="D49:E49"/>
    <mergeCell ref="D50:E56"/>
    <mergeCell ref="F50:I56"/>
    <mergeCell ref="F49:I49"/>
    <mergeCell ref="J16:L16"/>
    <mergeCell ref="J15:L15"/>
    <mergeCell ref="D15:E15"/>
    <mergeCell ref="D16:E16"/>
    <mergeCell ref="D17:E17"/>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s>
  <conditionalFormatting sqref="B6">
    <cfRule type="expression" dxfId="10" priority="25">
      <formula>$B$6="Please complete Step 1 to determine program requirements (business or personal)."</formula>
    </cfRule>
  </conditionalFormatting>
  <conditionalFormatting sqref="B11:I31">
    <cfRule type="expression" dxfId="9" priority="89">
      <formula>#REF!="Personal"</formula>
    </cfRule>
  </conditionalFormatting>
  <conditionalFormatting sqref="G13:G27 E19:E22">
    <cfRule type="expression" dxfId="8" priority="90">
      <formula>#REF!="Personal"</formula>
    </cfRule>
  </conditionalFormatting>
  <conditionalFormatting sqref="B6:I8">
    <cfRule type="expression" dxfId="7"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Y41"/>
  <sheetViews>
    <sheetView showGridLines="0" zoomScale="85" zoomScaleNormal="85" workbookViewId="0">
      <selection activeCell="B1" sqref="B1:G1"/>
    </sheetView>
  </sheetViews>
  <sheetFormatPr defaultColWidth="8.88671875" defaultRowHeight="14.4" x14ac:dyDescent="0.3"/>
  <cols>
    <col min="1" max="1" width="3.5546875" style="2" customWidth="1"/>
    <col min="2" max="2" width="3.44140625" style="2" customWidth="1"/>
    <col min="3" max="3" width="7" style="2" customWidth="1"/>
    <col min="4" max="4" width="48.5546875" style="84" customWidth="1"/>
    <col min="5" max="5" width="29" style="84" customWidth="1"/>
    <col min="6" max="6" width="5.33203125" style="84" customWidth="1"/>
    <col min="7" max="7" width="18.33203125" style="2" customWidth="1"/>
    <col min="8" max="8" width="22.33203125" style="2" customWidth="1"/>
    <col min="9" max="10" width="18.33203125" style="2" customWidth="1"/>
    <col min="11" max="11" width="3.44140625" style="2" customWidth="1"/>
    <col min="12" max="12" width="57.5546875" style="2" customWidth="1"/>
    <col min="13" max="13" width="4.33203125" style="2" customWidth="1"/>
    <col min="14" max="14" width="2.33203125" style="2" customWidth="1"/>
    <col min="15" max="15" width="2.5546875" style="2" customWidth="1"/>
    <col min="16" max="16" width="19.6640625" style="2" customWidth="1"/>
    <col min="17" max="17" width="34.88671875" style="2" customWidth="1"/>
    <col min="18" max="18" width="10.6640625" style="2" bestFit="1" customWidth="1"/>
    <col min="19" max="36" width="8.88671875" style="2"/>
    <col min="37" max="37" width="0" style="2" hidden="1" customWidth="1"/>
    <col min="38" max="16384" width="8.88671875" style="2"/>
  </cols>
  <sheetData>
    <row r="1" spans="2:25" ht="79.5" customHeight="1" thickBot="1" x14ac:dyDescent="0.35">
      <c r="B1" s="727" t="s">
        <v>131</v>
      </c>
      <c r="C1" s="727"/>
      <c r="D1" s="568"/>
      <c r="E1" s="568"/>
      <c r="F1" s="568"/>
      <c r="G1" s="568"/>
      <c r="H1" s="183"/>
      <c r="I1" s="183"/>
    </row>
    <row r="2" spans="2:25" ht="24.75" customHeight="1" thickBot="1" x14ac:dyDescent="0.35">
      <c r="B2" s="509" t="s">
        <v>98</v>
      </c>
      <c r="C2" s="510"/>
      <c r="D2" s="569"/>
      <c r="E2" s="569"/>
      <c r="F2" s="569"/>
      <c r="G2" s="569"/>
      <c r="H2" s="569"/>
      <c r="I2" s="569"/>
      <c r="J2" s="569"/>
      <c r="K2" s="570"/>
      <c r="Q2" s="67"/>
    </row>
    <row r="3" spans="2:25" ht="6.6" customHeight="1" x14ac:dyDescent="0.3">
      <c r="B3" s="257"/>
      <c r="C3" s="8"/>
      <c r="D3" s="230"/>
      <c r="E3" s="230"/>
      <c r="F3" s="376"/>
      <c r="G3" s="8"/>
      <c r="H3" s="8"/>
      <c r="I3" s="8"/>
      <c r="J3" s="8"/>
      <c r="K3" s="231"/>
    </row>
    <row r="4" spans="2:25" s="79" customFormat="1" ht="19.5" customHeight="1" x14ac:dyDescent="0.3">
      <c r="B4" s="253" t="s">
        <v>74</v>
      </c>
      <c r="C4" s="729" t="s">
        <v>74</v>
      </c>
      <c r="D4" s="729"/>
      <c r="E4" s="377"/>
      <c r="F4" s="169"/>
      <c r="G4" s="211" t="s">
        <v>102</v>
      </c>
      <c r="H4" s="434"/>
      <c r="I4" s="436"/>
      <c r="J4" s="387"/>
      <c r="K4" s="83"/>
      <c r="L4" s="2"/>
      <c r="M4" s="2"/>
      <c r="N4" s="2"/>
      <c r="O4" s="2"/>
      <c r="P4" s="2"/>
    </row>
    <row r="5" spans="2:25" s="79" customFormat="1" ht="6.75" customHeight="1" x14ac:dyDescent="0.3">
      <c r="B5" s="241"/>
      <c r="C5" s="323"/>
      <c r="D5" s="324"/>
      <c r="E5" s="268"/>
      <c r="F5" s="268"/>
      <c r="G5" s="157"/>
      <c r="H5" s="157"/>
      <c r="I5" s="157"/>
      <c r="J5" s="49"/>
      <c r="K5" s="83"/>
      <c r="L5" s="2"/>
      <c r="M5" s="2"/>
      <c r="N5" s="2"/>
      <c r="O5" s="2"/>
      <c r="P5" s="2"/>
    </row>
    <row r="6" spans="2:25" s="79" customFormat="1" ht="19.5" customHeight="1" x14ac:dyDescent="0.3">
      <c r="B6" s="80"/>
      <c r="D6" s="382" t="s">
        <v>137</v>
      </c>
      <c r="E6" s="377"/>
      <c r="F6" s="211"/>
      <c r="G6" s="209" t="s">
        <v>103</v>
      </c>
      <c r="H6" s="434"/>
      <c r="I6" s="436"/>
      <c r="J6" s="385"/>
      <c r="K6" s="83"/>
      <c r="L6" s="388"/>
      <c r="M6" s="2"/>
      <c r="N6" s="2"/>
      <c r="O6" s="2"/>
      <c r="P6" s="2"/>
    </row>
    <row r="7" spans="2:25" s="79" customFormat="1" ht="7.5" customHeight="1" x14ac:dyDescent="0.3">
      <c r="B7" s="94"/>
      <c r="F7" s="268"/>
      <c r="G7" s="160"/>
      <c r="H7" s="160"/>
      <c r="I7" s="160"/>
      <c r="J7" s="91"/>
      <c r="K7" s="83"/>
      <c r="L7" s="728"/>
      <c r="M7" s="242"/>
      <c r="N7" s="2"/>
      <c r="O7" s="2"/>
      <c r="P7" s="2"/>
    </row>
    <row r="8" spans="2:25" s="93" customFormat="1" ht="30" customHeight="1" x14ac:dyDescent="0.3">
      <c r="B8" s="258"/>
      <c r="C8" s="729" t="s">
        <v>109</v>
      </c>
      <c r="D8" s="729"/>
      <c r="E8" s="394" t="str">
        <f>IF(E6="","Please select loan program above",IF(OR(LoanAmount="",DownPayment=""),"Please enter loan amount or downpayment",(LoanAmount/(LoanAmount+DownPayment))))</f>
        <v>Please select loan program above</v>
      </c>
      <c r="F8" s="212"/>
      <c r="G8" s="175" t="s">
        <v>105</v>
      </c>
      <c r="H8" s="434"/>
      <c r="I8" s="436"/>
      <c r="J8" s="255"/>
      <c r="K8" s="92"/>
      <c r="L8" s="728"/>
      <c r="M8" s="242"/>
      <c r="N8" s="2"/>
      <c r="O8" s="2"/>
      <c r="P8" s="2"/>
      <c r="Q8" s="79"/>
      <c r="R8" s="79"/>
      <c r="S8" s="79"/>
      <c r="T8" s="79"/>
      <c r="U8" s="79"/>
      <c r="V8" s="79"/>
      <c r="W8" s="79"/>
      <c r="X8" s="79"/>
      <c r="Y8" s="79"/>
    </row>
    <row r="9" spans="2:25" s="93" customFormat="1" ht="17.25" customHeight="1" x14ac:dyDescent="0.3">
      <c r="B9" s="241"/>
      <c r="D9" s="357"/>
      <c r="E9" s="358" t="str">
        <f>IF(AND(E6="Expanded Access Core",E8&gt;0.8),"EA Core Program Max LTV is 80",IF(AND(E6="Expanded Access Plus",E8&gt;0.75),"EA Plus Program Max LTV is 75",""))</f>
        <v/>
      </c>
      <c r="F9" s="269"/>
      <c r="G9" s="161"/>
      <c r="H9" s="161"/>
      <c r="I9" s="161"/>
      <c r="J9" s="113"/>
      <c r="K9" s="92"/>
      <c r="L9" s="314"/>
      <c r="M9" s="2"/>
      <c r="N9" s="2"/>
      <c r="O9" s="2"/>
      <c r="P9" s="2"/>
      <c r="Q9" s="79"/>
      <c r="R9" s="79"/>
      <c r="S9" s="79"/>
      <c r="T9" s="79"/>
      <c r="U9" s="79"/>
      <c r="V9" s="79"/>
      <c r="W9" s="79"/>
      <c r="X9" s="79"/>
      <c r="Y9" s="79"/>
    </row>
    <row r="10" spans="2:25" s="93" customFormat="1" ht="27" customHeight="1" x14ac:dyDescent="0.3">
      <c r="B10" s="241"/>
      <c r="C10" s="357"/>
      <c r="E10" s="724" t="str">
        <f>IF(AND(OR(C18="OREO Home Equity (Residential Only) (75%)",C19="OREO Home Equity (Residential Only) (75%)",C20="OREO Home Equity (Residential Only) (75%)",C21="OREO Home Equity (Residential Only) (75%)",C22="OREO Home Equity (Residential Only) (75%)",C23="OREO Home Equity (Residential Only) (75%)",C24="OREO Home Equity (Residential Only) (75%)",C25="OREO Home Equity (Residential Only) (75%)",C26="OREO Home Equity (Residential Only) (75%)",C27="OREO Home Equity (Residential Only) (75%)",C28="OREO Home Equity (Residential Only) (75%)",C29="OREO Home Equity (Residential Only) (75%)"),E8&gt;0.65),"If you would like to use OREO proceeds to qualify, max LTV is 65%","")</f>
        <v/>
      </c>
      <c r="F10" s="270"/>
      <c r="G10" s="175" t="s">
        <v>104</v>
      </c>
      <c r="H10" s="597">
        <f>DownPayment+AUDate</f>
        <v>0</v>
      </c>
      <c r="I10" s="598"/>
      <c r="J10" s="386"/>
      <c r="K10" s="92"/>
      <c r="M10" s="2"/>
      <c r="N10" s="2"/>
      <c r="O10" s="2"/>
      <c r="P10" s="2"/>
      <c r="Q10" s="79"/>
      <c r="R10" s="79"/>
      <c r="S10" s="79"/>
      <c r="T10" s="79"/>
      <c r="U10" s="79"/>
      <c r="V10" s="79"/>
      <c r="W10" s="79"/>
      <c r="X10" s="79"/>
      <c r="Y10" s="79"/>
    </row>
    <row r="11" spans="2:25" s="93" customFormat="1" ht="7.5" customHeight="1" x14ac:dyDescent="0.3">
      <c r="B11" s="241"/>
      <c r="C11" s="267"/>
      <c r="D11" s="269"/>
      <c r="E11" s="725"/>
      <c r="F11" s="269"/>
      <c r="G11" s="161"/>
      <c r="H11" s="161"/>
      <c r="I11" s="161"/>
      <c r="J11" s="113"/>
      <c r="K11" s="92"/>
      <c r="L11" s="314"/>
      <c r="N11" s="2"/>
      <c r="O11" s="2"/>
      <c r="P11" s="2"/>
      <c r="Q11" s="79"/>
      <c r="R11" s="79"/>
      <c r="S11" s="79"/>
      <c r="T11" s="79"/>
      <c r="U11" s="79"/>
      <c r="V11" s="79"/>
      <c r="W11" s="79"/>
      <c r="X11" s="79"/>
      <c r="Y11" s="79"/>
    </row>
    <row r="12" spans="2:25" s="93" customFormat="1" ht="20.25" customHeight="1" x14ac:dyDescent="0.3">
      <c r="B12" s="258"/>
      <c r="C12" s="721" t="s">
        <v>108</v>
      </c>
      <c r="D12" s="721"/>
      <c r="E12" s="721"/>
      <c r="F12" s="271"/>
      <c r="G12" s="713" t="s">
        <v>107</v>
      </c>
      <c r="H12" s="714"/>
      <c r="I12" s="715"/>
      <c r="J12" s="385"/>
      <c r="K12" s="92"/>
      <c r="L12" s="380"/>
      <c r="M12" s="2"/>
      <c r="N12" s="2"/>
      <c r="O12" s="2"/>
      <c r="P12" s="2"/>
      <c r="Q12" s="79"/>
      <c r="R12" s="79"/>
      <c r="S12" s="79"/>
      <c r="T12" s="79"/>
      <c r="U12" s="79"/>
      <c r="V12" s="79"/>
      <c r="W12" s="79"/>
      <c r="X12" s="79"/>
      <c r="Y12" s="79"/>
    </row>
    <row r="13" spans="2:25" s="93" customFormat="1" ht="57.75" customHeight="1" x14ac:dyDescent="0.3">
      <c r="B13" s="258"/>
      <c r="C13" s="730" t="s">
        <v>106</v>
      </c>
      <c r="D13" s="731"/>
      <c r="E13" s="732"/>
      <c r="F13" s="272"/>
      <c r="G13" s="716" t="s">
        <v>130</v>
      </c>
      <c r="H13" s="717"/>
      <c r="I13" s="718"/>
      <c r="J13" s="385"/>
      <c r="K13" s="92"/>
      <c r="L13" s="389"/>
      <c r="M13" s="2"/>
      <c r="N13" s="2"/>
      <c r="O13" s="2"/>
      <c r="P13" s="2"/>
      <c r="Q13" s="79"/>
      <c r="R13" s="79"/>
      <c r="S13" s="79"/>
      <c r="T13" s="79"/>
      <c r="U13" s="79"/>
      <c r="V13" s="79"/>
      <c r="W13" s="79"/>
      <c r="X13" s="79"/>
      <c r="Y13" s="79"/>
    </row>
    <row r="14" spans="2:25" s="79" customFormat="1" ht="6.75" customHeight="1" thickBot="1" x14ac:dyDescent="0.35">
      <c r="B14" s="259"/>
      <c r="C14" s="256"/>
      <c r="D14" s="256"/>
      <c r="E14" s="256"/>
      <c r="F14" s="256"/>
      <c r="G14" s="260"/>
      <c r="H14" s="260"/>
      <c r="I14" s="260"/>
      <c r="J14" s="261"/>
      <c r="K14" s="262"/>
      <c r="L14" s="2"/>
      <c r="M14" s="2"/>
      <c r="N14" s="2"/>
      <c r="O14" s="2"/>
      <c r="P14" s="2"/>
    </row>
    <row r="15" spans="2:25" ht="24" thickBot="1" x14ac:dyDescent="0.35">
      <c r="B15" s="509" t="s">
        <v>97</v>
      </c>
      <c r="C15" s="510"/>
      <c r="D15" s="569"/>
      <c r="E15" s="569"/>
      <c r="F15" s="569"/>
      <c r="G15" s="569"/>
      <c r="H15" s="569"/>
      <c r="I15" s="569"/>
      <c r="J15" s="569"/>
      <c r="K15" s="570"/>
      <c r="L15" s="390"/>
      <c r="R15" s="26"/>
    </row>
    <row r="16" spans="2:25" ht="12" customHeight="1" x14ac:dyDescent="0.3">
      <c r="B16" s="106"/>
      <c r="C16" s="254"/>
      <c r="D16" s="108"/>
      <c r="E16" s="108"/>
      <c r="F16" s="108"/>
      <c r="G16" s="108"/>
      <c r="H16" s="108"/>
      <c r="I16" s="108"/>
      <c r="J16" s="108"/>
      <c r="K16" s="107"/>
      <c r="R16" s="26"/>
    </row>
    <row r="17" spans="2:23" ht="20.25" customHeight="1" x14ac:dyDescent="0.3">
      <c r="B17" s="9"/>
      <c r="C17" s="719" t="s">
        <v>96</v>
      </c>
      <c r="D17" s="720"/>
      <c r="E17" s="722" t="s">
        <v>95</v>
      </c>
      <c r="F17" s="723"/>
      <c r="G17" s="263" t="s">
        <v>94</v>
      </c>
      <c r="H17" s="325" t="s">
        <v>93</v>
      </c>
      <c r="I17" s="263" t="s">
        <v>116</v>
      </c>
      <c r="J17" s="263" t="s">
        <v>110</v>
      </c>
      <c r="K17" s="70"/>
      <c r="L17" s="726" t="str">
        <f>IF(OR(C18="OREO Home Equity (Residential Only) (Core Only: 75%)",C19="OREO Home Equity (Residential Only) (Core Only: 75%)",C20="OREO Home Equity (Residential Only) (Core Only: 75%)",C21="OREO Home Equity (Residential Only) (Core Only: 75%)",C22="OREO Home Equity (Residential Only) (Core Only: 75%)",C23="OREO Home Equity (Residential Only) (Core Only: 75%)",C24="OREO Home Equity (Residential Only) (Core Only: 75%)",C25="OREO Home Equity (Residential Only) (Core Only: 75%)",C26="OREO Home Equity (Residential Only) (Core Only: 75%)",C27="OREO Home Equity (Residential Only) (Core Only: 75%)",C28="OREO Home Equity (Residential Only) (75%)",C29="OREO Home Equity (Residential Only) (Core Only: 75%)"),"If using OREO Home Equity to qualify (EA CORE ONLY) Restrictions:
• Subject Loan: Max 65% LTV
• Borrower’s Min 700 FICO
• Value must by documented by exterior appraisal or BPO
• Lien Search required
• 100% ownership required","")</f>
        <v>If using OREO Home Equity to qualify (EA CORE ONLY) Restrictions:
• Subject Loan: Max 65% LTV
• Borrower’s Min 700 FICO
• Value must by documented by exterior appraisal or BPO
• Lien Search required
• 100% ownership required</v>
      </c>
    </row>
    <row r="18" spans="2:23" ht="20.25" customHeight="1" x14ac:dyDescent="0.3">
      <c r="B18" s="9"/>
      <c r="C18" s="703" t="s">
        <v>165</v>
      </c>
      <c r="D18" s="703"/>
      <c r="E18" s="707"/>
      <c r="F18" s="708"/>
      <c r="G18" s="378"/>
      <c r="H18" s="378"/>
      <c r="I18" s="383">
        <f>NotBusDeposit-H18</f>
        <v>0</v>
      </c>
      <c r="J18" s="384">
        <f>IFERROR((G18-H18)*(IF($E$6="Expanded Access Plus",VLOOKUP(C18,'Admin AU'!$A$12:$B$14,2,FALSE),VLOOKUP(C18,'Admin AU'!$A$17:$B$20,2,FALSE))),"TBD")</f>
        <v>0</v>
      </c>
      <c r="K18" s="70"/>
      <c r="L18" s="726"/>
    </row>
    <row r="19" spans="2:23" ht="20.25" customHeight="1" x14ac:dyDescent="0.3">
      <c r="B19" s="9"/>
      <c r="C19" s="703" t="s">
        <v>164</v>
      </c>
      <c r="D19" s="703"/>
      <c r="E19" s="707"/>
      <c r="F19" s="708"/>
      <c r="G19" s="378"/>
      <c r="H19" s="378"/>
      <c r="I19" s="383">
        <f>notbustwo-H19</f>
        <v>0</v>
      </c>
      <c r="J19" s="384">
        <f>IFERROR((G19-H19)*(IF($E$6="Expanded Access Plus",VLOOKUP(C19,'Admin AU'!$A$12:$B$14,2,FALSE),VLOOKUP(C19,'Admin AU'!$A$17:$B$20,2,FALSE))),"TBD")</f>
        <v>0</v>
      </c>
      <c r="K19" s="70"/>
      <c r="L19" s="726"/>
    </row>
    <row r="20" spans="2:23" ht="20.25" customHeight="1" x14ac:dyDescent="0.3">
      <c r="B20" s="9"/>
      <c r="C20" s="703" t="s">
        <v>164</v>
      </c>
      <c r="D20" s="703"/>
      <c r="E20" s="707"/>
      <c r="F20" s="708"/>
      <c r="G20" s="378"/>
      <c r="H20" s="378"/>
      <c r="I20" s="383">
        <f>G20-H20</f>
        <v>0</v>
      </c>
      <c r="J20" s="384">
        <f>IFERROR((G20-H20)*(IF($E$6="Expanded Access Plus",VLOOKUP(C20,'Admin AU'!$A$12:$B$14,2,FALSE),VLOOKUP(C20,'Admin AU'!$A$17:$B$20,2,FALSE))),"TBD")</f>
        <v>0</v>
      </c>
      <c r="K20" s="11"/>
      <c r="L20" s="726"/>
    </row>
    <row r="21" spans="2:23" ht="20.25" customHeight="1" x14ac:dyDescent="0.3">
      <c r="B21" s="9"/>
      <c r="C21" s="703"/>
      <c r="D21" s="703"/>
      <c r="E21" s="707"/>
      <c r="F21" s="708"/>
      <c r="G21" s="378"/>
      <c r="H21" s="378"/>
      <c r="I21" s="383">
        <f t="shared" ref="I21:I29" si="0">G21-H21</f>
        <v>0</v>
      </c>
      <c r="J21" s="384" t="str">
        <f>IFERROR((G21-H21)*(IF($E$6="Expanded Access Plus",VLOOKUP(C21,'Admin AU'!$A$12:$B$14,2,FALSE),VLOOKUP(C21,'Admin AU'!$A$17:$B$20,2,FALSE))),"TBD")</f>
        <v>TBD</v>
      </c>
      <c r="K21" s="11"/>
      <c r="L21" s="726"/>
      <c r="Q21" s="2" t="s">
        <v>4</v>
      </c>
    </row>
    <row r="22" spans="2:23" ht="20.25" customHeight="1" x14ac:dyDescent="0.3">
      <c r="B22" s="9"/>
      <c r="C22" s="703"/>
      <c r="D22" s="703"/>
      <c r="E22" s="707"/>
      <c r="F22" s="708"/>
      <c r="G22" s="378"/>
      <c r="H22" s="378"/>
      <c r="I22" s="383">
        <f t="shared" si="0"/>
        <v>0</v>
      </c>
      <c r="J22" s="384" t="str">
        <f>IFERROR((G22-H22)*(IF($E$6="Expanded Access Plus",VLOOKUP(C22,'Admin AU'!$A$12:$B$14,2,FALSE),VLOOKUP(C22,'Admin AU'!$A$17:$B$20,2,FALSE))),"TBD")</f>
        <v>TBD</v>
      </c>
      <c r="K22" s="11"/>
      <c r="L22" s="726"/>
    </row>
    <row r="23" spans="2:23" ht="20.25" customHeight="1" x14ac:dyDescent="0.3">
      <c r="B23" s="9"/>
      <c r="C23" s="703"/>
      <c r="D23" s="703"/>
      <c r="E23" s="707"/>
      <c r="F23" s="708"/>
      <c r="G23" s="378"/>
      <c r="H23" s="378"/>
      <c r="I23" s="383">
        <f t="shared" si="0"/>
        <v>0</v>
      </c>
      <c r="J23" s="384" t="str">
        <f>IFERROR((G23-H23)*(IF($E$6="Expanded Access Plus",VLOOKUP(C23,'Admin AU'!$A$12:$B$14,2,FALSE),VLOOKUP(C23,'Admin AU'!$A$17:$B$20,2,FALSE))),"TBD")</f>
        <v>TBD</v>
      </c>
      <c r="K23" s="11"/>
    </row>
    <row r="24" spans="2:23" ht="20.25" customHeight="1" x14ac:dyDescent="0.3">
      <c r="B24" s="9"/>
      <c r="C24" s="703"/>
      <c r="D24" s="703"/>
      <c r="E24" s="707"/>
      <c r="F24" s="708"/>
      <c r="G24" s="378"/>
      <c r="H24" s="378"/>
      <c r="I24" s="383">
        <f t="shared" si="0"/>
        <v>0</v>
      </c>
      <c r="J24" s="384" t="str">
        <f>IFERROR((G24-H24)*(IF($E$6="Expanded Access Plus",VLOOKUP(C24,'Admin AU'!$A$12:$B$14,2,FALSE),VLOOKUP(C24,'Admin AU'!$A$17:$B$20,2,FALSE))),"TBD")</f>
        <v>TBD</v>
      </c>
      <c r="K24" s="11"/>
    </row>
    <row r="25" spans="2:23" ht="20.25" customHeight="1" x14ac:dyDescent="0.3">
      <c r="B25" s="9"/>
      <c r="C25" s="703"/>
      <c r="D25" s="703"/>
      <c r="E25" s="707"/>
      <c r="F25" s="708"/>
      <c r="G25" s="378"/>
      <c r="H25" s="378"/>
      <c r="I25" s="383">
        <f t="shared" si="0"/>
        <v>0</v>
      </c>
      <c r="J25" s="384" t="str">
        <f>IFERROR((G25-H25)*(IF($E$6="Expanded Access Plus",VLOOKUP(C25,'Admin AU'!$A$12:$B$14,2,FALSE),VLOOKUP(C25,'Admin AU'!$A$17:$B$20,2,FALSE))),"TBD")</f>
        <v>TBD</v>
      </c>
      <c r="K25" s="11"/>
    </row>
    <row r="26" spans="2:23" ht="20.25" customHeight="1" x14ac:dyDescent="0.3">
      <c r="B26" s="9"/>
      <c r="C26" s="703"/>
      <c r="D26" s="703"/>
      <c r="E26" s="707"/>
      <c r="F26" s="708"/>
      <c r="G26" s="378"/>
      <c r="H26" s="378"/>
      <c r="I26" s="383">
        <f t="shared" si="0"/>
        <v>0</v>
      </c>
      <c r="J26" s="384" t="str">
        <f>IFERROR((G26-H26)*(IF($E$6="Expanded Access Plus",VLOOKUP(C26,'Admin AU'!$A$12:$B$14,2,FALSE),VLOOKUP(C26,'Admin AU'!$A$17:$B$20,2,FALSE))),"TBD")</f>
        <v>TBD</v>
      </c>
      <c r="K26" s="11"/>
    </row>
    <row r="27" spans="2:23" ht="20.25" customHeight="1" x14ac:dyDescent="0.3">
      <c r="B27" s="9"/>
      <c r="C27" s="703"/>
      <c r="D27" s="703"/>
      <c r="E27" s="707"/>
      <c r="F27" s="708"/>
      <c r="G27" s="378"/>
      <c r="H27" s="378"/>
      <c r="I27" s="383">
        <f t="shared" si="0"/>
        <v>0</v>
      </c>
      <c r="J27" s="384" t="str">
        <f>IFERROR((G27-H27)*(IF($E$6="Expanded Access Plus",VLOOKUP(C27,'Admin AU'!$A$12:$B$14,2,FALSE),VLOOKUP(C27,'Admin AU'!$A$17:$B$20,2,FALSE))),"TBD")</f>
        <v>TBD</v>
      </c>
      <c r="K27" s="11"/>
    </row>
    <row r="28" spans="2:23" ht="20.25" customHeight="1" x14ac:dyDescent="0.3">
      <c r="B28" s="9"/>
      <c r="C28" s="703"/>
      <c r="D28" s="703"/>
      <c r="E28" s="707"/>
      <c r="F28" s="708"/>
      <c r="G28" s="378"/>
      <c r="H28" s="378"/>
      <c r="I28" s="383">
        <f t="shared" si="0"/>
        <v>0</v>
      </c>
      <c r="J28" s="384" t="str">
        <f>IFERROR((G28-H28)*(IF($E$6="Expanded Access Plus",VLOOKUP(C28,'Admin AU'!$A$12:$B$14,2,FALSE),VLOOKUP(C28,'Admin AU'!$A$17:$B$20,2,FALSE))),"TBD")</f>
        <v>TBD</v>
      </c>
      <c r="K28" s="11"/>
    </row>
    <row r="29" spans="2:23" ht="20.25" customHeight="1" x14ac:dyDescent="0.3">
      <c r="B29" s="9"/>
      <c r="C29" s="703"/>
      <c r="D29" s="703"/>
      <c r="E29" s="707"/>
      <c r="F29" s="708"/>
      <c r="G29" s="378"/>
      <c r="H29" s="378"/>
      <c r="I29" s="383">
        <f t="shared" si="0"/>
        <v>0</v>
      </c>
      <c r="J29" s="384" t="str">
        <f>IFERROR((G29-H29)*(IF($E$6="Expanded Access Plus",VLOOKUP(C29,'Admin AU'!$A$12:$B$14,2,FALSE),VLOOKUP(C29,'Admin AU'!$A$17:$B$20,2,FALSE))),"TBD")</f>
        <v>TBD</v>
      </c>
      <c r="K29" s="11"/>
    </row>
    <row r="30" spans="2:23" s="79" customFormat="1" ht="20.25" customHeight="1" x14ac:dyDescent="0.3">
      <c r="B30" s="80"/>
      <c r="C30" s="157"/>
      <c r="D30" s="264"/>
      <c r="E30" s="265" t="s">
        <v>92</v>
      </c>
      <c r="F30" s="265"/>
      <c r="G30" s="266">
        <f>IF(H30&lt;H10,"TBD",SUM(G18:G29))</f>
        <v>0</v>
      </c>
      <c r="H30" s="266">
        <f>SUM(H18:H29)</f>
        <v>0</v>
      </c>
      <c r="I30" s="266">
        <f>IF(H30&lt;H10,"TBD",SUM(I18:I29))</f>
        <v>0</v>
      </c>
      <c r="J30" s="266">
        <f>IF(H30&lt;H10,"TBD",SUM(J18:J29))</f>
        <v>0</v>
      </c>
      <c r="K30" s="83"/>
      <c r="L30" s="728"/>
      <c r="M30" s="2"/>
      <c r="N30" s="2"/>
      <c r="O30" s="2"/>
      <c r="P30" s="2"/>
    </row>
    <row r="31" spans="2:23" s="79" customFormat="1" ht="41.25" customHeight="1" thickBot="1" x14ac:dyDescent="0.4">
      <c r="B31" s="80"/>
      <c r="C31" s="49"/>
      <c r="D31" s="379"/>
      <c r="E31" s="240"/>
      <c r="F31" s="712" t="str">
        <f>IF(H10=0,"",IF(H30&gt;=H10,"","Please ensure you have entered ALL loan 
costs (downpayment and closing costs) in column H."))</f>
        <v/>
      </c>
      <c r="G31" s="712"/>
      <c r="H31" s="712"/>
      <c r="I31" s="712"/>
      <c r="J31" s="340"/>
      <c r="K31" s="83"/>
      <c r="L31" s="728"/>
      <c r="M31" s="2"/>
      <c r="N31" s="2"/>
      <c r="O31" s="2"/>
      <c r="P31" s="2"/>
    </row>
    <row r="32" spans="2:23" ht="24" thickBot="1" x14ac:dyDescent="0.4">
      <c r="B32" s="509" t="s">
        <v>21</v>
      </c>
      <c r="C32" s="510"/>
      <c r="D32" s="569"/>
      <c r="E32" s="569"/>
      <c r="F32" s="569"/>
      <c r="G32" s="569"/>
      <c r="H32" s="569"/>
      <c r="I32" s="569"/>
      <c r="J32" s="569"/>
      <c r="K32" s="570"/>
      <c r="N32" s="2" t="s">
        <v>4</v>
      </c>
      <c r="O32" s="182"/>
      <c r="P32" s="182"/>
      <c r="Q32" s="182"/>
      <c r="R32" s="182"/>
      <c r="S32" s="182"/>
      <c r="T32" s="182"/>
      <c r="U32" s="182"/>
      <c r="V32" s="182"/>
      <c r="W32" s="182"/>
    </row>
    <row r="33" spans="2:23" ht="40.5" customHeight="1" thickBot="1" x14ac:dyDescent="0.4">
      <c r="B33" s="705" t="s">
        <v>47</v>
      </c>
      <c r="C33" s="706"/>
      <c r="D33" s="706"/>
      <c r="E33" s="706"/>
      <c r="F33" s="706"/>
      <c r="G33" s="706"/>
      <c r="H33" s="706"/>
      <c r="I33" s="709" t="s">
        <v>91</v>
      </c>
      <c r="J33" s="710"/>
      <c r="K33" s="711"/>
      <c r="O33" s="182"/>
      <c r="P33" s="182"/>
      <c r="Q33" s="182"/>
      <c r="R33" s="182"/>
      <c r="S33" s="182"/>
      <c r="T33" s="182"/>
      <c r="U33" s="182"/>
      <c r="V33" s="182"/>
      <c r="W33" s="182"/>
    </row>
    <row r="34" spans="2:23" ht="9" customHeight="1" x14ac:dyDescent="0.35">
      <c r="B34" s="257"/>
      <c r="C34" s="336"/>
      <c r="D34" s="230"/>
      <c r="E34" s="230"/>
      <c r="F34" s="8"/>
      <c r="G34" s="326"/>
      <c r="H34" s="327"/>
      <c r="I34" s="694" t="str">
        <f>IF(OR(J30=0, ISERROR(J30/120)),"TBD",(J30/120))</f>
        <v>TBD</v>
      </c>
      <c r="J34" s="694"/>
      <c r="K34" s="695"/>
      <c r="O34" s="182"/>
      <c r="P34" s="182"/>
      <c r="Q34" s="182"/>
      <c r="R34" s="182"/>
      <c r="S34" s="182" t="s">
        <v>4</v>
      </c>
      <c r="T34" s="182"/>
      <c r="U34" s="182"/>
      <c r="V34" s="182"/>
      <c r="W34" s="182"/>
    </row>
    <row r="35" spans="2:23" ht="18.75" customHeight="1" x14ac:dyDescent="0.35">
      <c r="B35" s="9"/>
      <c r="C35" s="59"/>
      <c r="D35" s="305"/>
      <c r="E35" s="305"/>
      <c r="F35" s="1"/>
      <c r="G35" s="334" t="s">
        <v>132</v>
      </c>
      <c r="H35" s="329"/>
      <c r="I35" s="696"/>
      <c r="J35" s="696"/>
      <c r="K35" s="697"/>
      <c r="O35" s="182"/>
      <c r="P35" s="182"/>
      <c r="Q35" s="182"/>
      <c r="R35" s="182"/>
      <c r="S35" s="182"/>
      <c r="T35" s="182"/>
      <c r="U35" s="182"/>
      <c r="V35" s="182"/>
      <c r="W35" s="182"/>
    </row>
    <row r="36" spans="2:23" ht="34.5" customHeight="1" x14ac:dyDescent="0.35">
      <c r="B36" s="337"/>
      <c r="C36" s="392" t="s">
        <v>161</v>
      </c>
      <c r="D36" s="704" t="str">
        <f>IFERROR(IF(LoanAmount&lt;100000,"Please enter loan amount in Step 1",IF(LoanAmount&lt;800000,"Qualified Assets ("&amp;DOLLAR(J30,0)&amp;") must be more than 125% of loan amount ("&amp;DOLLAR((LoanAmount*1.25),0)&amp;")","Qualified Assets must be more than $1MM")),"Qualified assets must be either 125% of the loan amount or $1MM, whichever is less.")</f>
        <v>Please enter loan amount in Step 1</v>
      </c>
      <c r="E36" s="704"/>
      <c r="F36" s="328"/>
      <c r="G36" s="335" t="str">
        <f>IF(J30="TBD","TBD",IFERROR(IF(D36="Please enter loan amount in Step 1","TBD",IF(J30&lt;1,"TBD",IF(LoanAmount&lt;800000,IF(J30&gt;=(LoanAmount*1.25),"YES","NO"),IF(J30&gt;=1000000,"YES","NO")))),"TBD"))</f>
        <v>TBD</v>
      </c>
      <c r="H36" s="11"/>
      <c r="I36" s="696"/>
      <c r="J36" s="696"/>
      <c r="K36" s="697"/>
      <c r="O36" s="182"/>
      <c r="P36" s="182"/>
      <c r="Q36" s="182"/>
      <c r="R36" s="182"/>
      <c r="S36" s="182"/>
      <c r="T36" s="182"/>
      <c r="U36" s="182"/>
      <c r="V36" s="182"/>
      <c r="W36" s="182"/>
    </row>
    <row r="37" spans="2:23" ht="7.5" customHeight="1" x14ac:dyDescent="0.35">
      <c r="B37" s="337"/>
      <c r="C37" s="333"/>
      <c r="D37" s="381"/>
      <c r="E37" s="332"/>
      <c r="F37" s="328"/>
      <c r="G37" s="328"/>
      <c r="H37" s="329"/>
      <c r="I37" s="696"/>
      <c r="J37" s="696"/>
      <c r="K37" s="697"/>
      <c r="O37" s="664"/>
      <c r="P37" s="664"/>
      <c r="Q37" s="664"/>
      <c r="R37" s="182"/>
      <c r="S37" s="182"/>
      <c r="T37" s="182"/>
      <c r="U37" s="182"/>
      <c r="V37" s="182"/>
      <c r="W37" s="182"/>
    </row>
    <row r="38" spans="2:23" ht="32.25" customHeight="1" x14ac:dyDescent="0.35">
      <c r="B38" s="337"/>
      <c r="C38" s="393" t="s">
        <v>162</v>
      </c>
      <c r="D38" s="704" t="str">
        <f>IFERROR("Are Net Assets ("&amp;DOLLAR(I30,0)&amp;") &gt; $450K?","Are Net Assets &gt; $450K?")</f>
        <v>Are Net Assets ($0) &gt; $450K?</v>
      </c>
      <c r="E38" s="704"/>
      <c r="F38" s="328"/>
      <c r="G38" s="335" t="str">
        <f>IF(J30="TBD","TBD",IF(I30=0,"TBD",IF(I30&gt;450000,"YES","NO")))</f>
        <v>TBD</v>
      </c>
      <c r="H38" s="329"/>
      <c r="I38" s="696"/>
      <c r="J38" s="696"/>
      <c r="K38" s="697"/>
      <c r="O38" s="664"/>
      <c r="P38" s="664"/>
      <c r="Q38" s="664"/>
      <c r="R38" s="182"/>
      <c r="S38" s="182"/>
      <c r="T38" s="182"/>
      <c r="U38" s="182"/>
      <c r="V38" s="182"/>
      <c r="W38" s="182"/>
    </row>
    <row r="39" spans="2:23" ht="3" customHeight="1" x14ac:dyDescent="0.35">
      <c r="B39" s="337"/>
      <c r="C39" s="59"/>
      <c r="D39" s="59"/>
      <c r="E39" s="328"/>
      <c r="F39" s="328"/>
      <c r="G39" s="328"/>
      <c r="H39" s="329"/>
      <c r="I39" s="696"/>
      <c r="J39" s="696"/>
      <c r="K39" s="697"/>
      <c r="O39" s="182"/>
      <c r="P39" s="182"/>
      <c r="Q39" s="182"/>
      <c r="R39" s="182"/>
      <c r="S39" s="182"/>
      <c r="T39" s="182"/>
      <c r="U39" s="182"/>
      <c r="V39" s="182"/>
      <c r="W39" s="182"/>
    </row>
    <row r="40" spans="2:23" ht="9.75" customHeight="1" thickBot="1" x14ac:dyDescent="0.4">
      <c r="B40" s="338"/>
      <c r="C40" s="339"/>
      <c r="D40" s="339"/>
      <c r="E40" s="330"/>
      <c r="F40" s="330"/>
      <c r="G40" s="330"/>
      <c r="H40" s="331"/>
      <c r="I40" s="698"/>
      <c r="J40" s="698"/>
      <c r="K40" s="699"/>
      <c r="O40" s="182"/>
      <c r="P40" s="182"/>
      <c r="Q40" s="182"/>
      <c r="R40" s="182"/>
      <c r="S40" s="182"/>
      <c r="T40" s="182"/>
      <c r="U40" s="182"/>
      <c r="V40" s="182"/>
      <c r="W40" s="182"/>
    </row>
    <row r="41" spans="2:23" x14ac:dyDescent="0.3">
      <c r="B41" s="1"/>
      <c r="C41" s="1"/>
      <c r="D41" s="305"/>
      <c r="E41" s="305"/>
    </row>
  </sheetData>
  <sheetProtection selectLockedCells="1"/>
  <mergeCells count="51">
    <mergeCell ref="L17:L22"/>
    <mergeCell ref="B1:G1"/>
    <mergeCell ref="B2:K2"/>
    <mergeCell ref="O37:Q38"/>
    <mergeCell ref="B32:K32"/>
    <mergeCell ref="L30:L31"/>
    <mergeCell ref="C29:D29"/>
    <mergeCell ref="C28:D28"/>
    <mergeCell ref="C8:D8"/>
    <mergeCell ref="L7:L8"/>
    <mergeCell ref="C13:E13"/>
    <mergeCell ref="B15:K15"/>
    <mergeCell ref="C24:D24"/>
    <mergeCell ref="C23:D23"/>
    <mergeCell ref="C22:D22"/>
    <mergeCell ref="C4:D4"/>
    <mergeCell ref="C21:D21"/>
    <mergeCell ref="C20:D20"/>
    <mergeCell ref="C19:D19"/>
    <mergeCell ref="C18:D18"/>
    <mergeCell ref="E24:F24"/>
    <mergeCell ref="E23:F23"/>
    <mergeCell ref="E22:F22"/>
    <mergeCell ref="E21:F21"/>
    <mergeCell ref="E20:F20"/>
    <mergeCell ref="H4:I4"/>
    <mergeCell ref="H6:I6"/>
    <mergeCell ref="H8:I8"/>
    <mergeCell ref="H10:I10"/>
    <mergeCell ref="C17:D17"/>
    <mergeCell ref="C12:E12"/>
    <mergeCell ref="E17:F17"/>
    <mergeCell ref="E10:E11"/>
    <mergeCell ref="I33:K33"/>
    <mergeCell ref="I34:K40"/>
    <mergeCell ref="E29:F29"/>
    <mergeCell ref="F31:I31"/>
    <mergeCell ref="G12:I12"/>
    <mergeCell ref="G13:I13"/>
    <mergeCell ref="E18:F18"/>
    <mergeCell ref="E19:F19"/>
    <mergeCell ref="C27:D27"/>
    <mergeCell ref="C26:D26"/>
    <mergeCell ref="C25:D25"/>
    <mergeCell ref="D36:E36"/>
    <mergeCell ref="D38:E38"/>
    <mergeCell ref="B33:H33"/>
    <mergeCell ref="E28:F28"/>
    <mergeCell ref="E27:F27"/>
    <mergeCell ref="E26:F26"/>
    <mergeCell ref="E25:F25"/>
  </mergeCells>
  <conditionalFormatting sqref="G36">
    <cfRule type="expression" dxfId="6" priority="5">
      <formula>$G$36="TBD"</formula>
    </cfRule>
    <cfRule type="expression" dxfId="5" priority="108">
      <formula>$G$36="YES"</formula>
    </cfRule>
    <cfRule type="expression" dxfId="4" priority="109">
      <formula>G36="No"</formula>
    </cfRule>
  </conditionalFormatting>
  <conditionalFormatting sqref="G38">
    <cfRule type="expression" dxfId="3" priority="2">
      <formula>$G$38="TBD"</formula>
    </cfRule>
    <cfRule type="expression" dxfId="2" priority="3">
      <formula>$G$36="YES"</formula>
    </cfRule>
    <cfRule type="expression" dxfId="1" priority="4">
      <formula>G38="No"</formula>
    </cfRule>
  </conditionalFormatting>
  <conditionalFormatting sqref="F31">
    <cfRule type="expression" dxfId="0" priority="1">
      <formula>"H30&lt;H10"</formula>
    </cfRule>
  </conditionalFormatting>
  <dataValidations count="4">
    <dataValidation type="decimal" allowBlank="1" showInputMessage="1" showErrorMessage="1" sqref="G9:J9 G11:J11">
      <formula1>0</formula1>
      <formula2>1</formula2>
    </dataValidation>
    <dataValidation type="date" allowBlank="1" showInputMessage="1" showErrorMessage="1" sqref="H8">
      <formula1>1</formula1>
      <formula2>44562</formula2>
    </dataValidation>
    <dataValidation type="list" allowBlank="1" showInputMessage="1" showErrorMessage="1" sqref="C18:D29">
      <formula1>CoreAsset</formula1>
    </dataValidation>
    <dataValidation type="decimal" allowBlank="1" showInputMessage="1" showErrorMessage="1" sqref="E8">
      <formula1>0</formula1>
      <formula2>100</formula2>
    </dataValidation>
  </dataValidations>
  <pageMargins left="0.2" right="0.2" top="0.25" bottom="0.25" header="0.3" footer="0.3"/>
  <pageSetup paperSize="5" scale="5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AU'!$A$22:$A$23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V42"/>
  <sheetViews>
    <sheetView topLeftCell="F1" zoomScale="85" zoomScaleNormal="85" workbookViewId="0">
      <selection activeCell="O11" sqref="O11"/>
    </sheetView>
  </sheetViews>
  <sheetFormatPr defaultColWidth="9.109375" defaultRowHeight="15" x14ac:dyDescent="0.35"/>
  <cols>
    <col min="1" max="1" width="2.6640625" style="23" customWidth="1"/>
    <col min="2" max="4" width="9.109375" style="23"/>
    <col min="5" max="5" width="119.33203125" style="23" bestFit="1" customWidth="1"/>
    <col min="6" max="6" width="114" style="23" bestFit="1" customWidth="1"/>
    <col min="7" max="7" width="9.109375" style="23"/>
    <col min="8" max="11" width="33.5546875" style="23" customWidth="1"/>
    <col min="12" max="12" width="9.109375" style="23"/>
    <col min="13" max="16" width="6.6640625" style="23" customWidth="1"/>
    <col min="17" max="17" width="7.88671875" style="23" bestFit="1" customWidth="1"/>
    <col min="18" max="18" width="8.6640625" style="23" bestFit="1" customWidth="1"/>
    <col min="19" max="19" width="6.6640625" style="23" customWidth="1"/>
    <col min="20" max="16384" width="9.109375" style="23"/>
  </cols>
  <sheetData>
    <row r="2" spans="2:18" x14ac:dyDescent="0.35">
      <c r="B2" s="23" t="s">
        <v>8</v>
      </c>
      <c r="C2" s="23" t="s">
        <v>9</v>
      </c>
      <c r="D2" s="23" t="s">
        <v>12</v>
      </c>
      <c r="E2" s="23" t="s">
        <v>13</v>
      </c>
      <c r="F2" s="112" t="s">
        <v>14</v>
      </c>
      <c r="H2" s="23" t="s">
        <v>48</v>
      </c>
      <c r="I2" s="23" t="s">
        <v>49</v>
      </c>
      <c r="J2" s="123"/>
      <c r="K2" s="124" t="s">
        <v>50</v>
      </c>
    </row>
    <row r="3" spans="2:18" ht="105" x14ac:dyDescent="0.35">
      <c r="B3" s="23" t="s">
        <v>2</v>
      </c>
      <c r="C3" s="23">
        <v>12</v>
      </c>
      <c r="D3" s="23" t="s">
        <v>10</v>
      </c>
      <c r="E3" s="23" t="s">
        <v>22</v>
      </c>
      <c r="F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25" t="e">
        <f>ABS((AMD-'STEP 3 - Income Analysis'!G13/MosReq)/('STEP 3 - Income Analysis'!G13/MosReq))</f>
        <v>#REF!</v>
      </c>
      <c r="I3" s="126" t="e">
        <f>ABS(AMD-'STEP 3 - Income Analysis'!G27/MosReq)/('STEP 3 - Income Analysis'!G27/MosReq)</f>
        <v>#REF!</v>
      </c>
      <c r="J3" s="123" t="s">
        <v>51</v>
      </c>
      <c r="K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30"/>
      <c r="N3" s="131"/>
    </row>
    <row r="4" spans="2:18" ht="75" x14ac:dyDescent="0.35">
      <c r="B4" s="23" t="s">
        <v>3</v>
      </c>
      <c r="C4" s="23">
        <v>24</v>
      </c>
      <c r="D4" s="23" t="s">
        <v>11</v>
      </c>
      <c r="E4" s="23" t="s">
        <v>23</v>
      </c>
      <c r="F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3" t="str">
        <f>IF(ISERROR(IF(H3&lt;10%,"&lt;10%","&gt;10%")),"Error",(IF(H3&lt;10%,"&lt;10%","&gt;10%")))</f>
        <v>Error</v>
      </c>
      <c r="I4" s="23" t="str">
        <f>IF(ISERROR(IF(I3&lt;10%,"&lt;10%","&gt;10%")),"Error",(IF(I3&lt;10%,"&lt;10%","&gt;10%")))</f>
        <v>Error</v>
      </c>
      <c r="J4" s="127" t="s">
        <v>52</v>
      </c>
      <c r="K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60" x14ac:dyDescent="0.35">
      <c r="E5" s="23" t="s">
        <v>55</v>
      </c>
      <c r="F5" s="111" t="s">
        <v>15</v>
      </c>
      <c r="J5" s="123" t="s">
        <v>53</v>
      </c>
      <c r="K5" s="111" t="s">
        <v>15</v>
      </c>
    </row>
    <row r="7" spans="2:18" x14ac:dyDescent="0.35">
      <c r="P7" s="23" t="s">
        <v>117</v>
      </c>
      <c r="Q7" s="23" t="s">
        <v>118</v>
      </c>
    </row>
    <row r="8" spans="2:18" ht="15" customHeight="1" x14ac:dyDescent="0.35">
      <c r="O8" s="233">
        <v>0</v>
      </c>
      <c r="P8" s="243">
        <v>0.2</v>
      </c>
      <c r="Q8" s="243">
        <v>0.4</v>
      </c>
      <c r="R8" s="243"/>
    </row>
    <row r="9" spans="2:18" ht="15" customHeight="1" x14ac:dyDescent="0.35">
      <c r="D9" s="23" t="s">
        <v>16</v>
      </c>
      <c r="E9" s="23" t="s">
        <v>17</v>
      </c>
      <c r="O9" s="234" t="s">
        <v>73</v>
      </c>
      <c r="P9" s="243">
        <v>0.4</v>
      </c>
      <c r="Q9" s="243">
        <v>0.6</v>
      </c>
      <c r="R9" s="243"/>
    </row>
    <row r="10" spans="2:18" ht="15" customHeight="1" x14ac:dyDescent="0.35">
      <c r="D10" s="25">
        <f>COUNTA(#REF!,#REF!,#REF!)</f>
        <v>3</v>
      </c>
      <c r="E10" s="23" t="s">
        <v>18</v>
      </c>
      <c r="O10" s="233" t="s">
        <v>160</v>
      </c>
      <c r="P10" s="243">
        <v>0.6</v>
      </c>
      <c r="Q10" s="243">
        <v>0.8</v>
      </c>
      <c r="R10" s="243"/>
    </row>
    <row r="11" spans="2:18" ht="14.25" customHeight="1" x14ac:dyDescent="0.35">
      <c r="E11" s="23" t="s">
        <v>19</v>
      </c>
    </row>
    <row r="14" spans="2:18" ht="14.25" customHeight="1" x14ac:dyDescent="0.35">
      <c r="B14" s="23" t="s">
        <v>10</v>
      </c>
    </row>
    <row r="15" spans="2:18" ht="14.25" customHeight="1" x14ac:dyDescent="0.35">
      <c r="B15" s="23" t="s">
        <v>11</v>
      </c>
    </row>
    <row r="18" spans="2:22" ht="14.25" customHeight="1" x14ac:dyDescent="0.35">
      <c r="B18" s="23" t="s">
        <v>27</v>
      </c>
      <c r="E18" s="23" t="s">
        <v>2</v>
      </c>
    </row>
    <row r="19" spans="2:22" ht="14.25" customHeight="1" x14ac:dyDescent="0.35">
      <c r="E19" s="23" t="e">
        <f>IF(AND(#REF!="Yes",#REF! = "No"), "Personal", "")</f>
        <v>#REF!</v>
      </c>
    </row>
    <row r="20" spans="2:22" ht="14.25" customHeight="1" x14ac:dyDescent="0.35">
      <c r="B20" s="23" t="s">
        <v>30</v>
      </c>
    </row>
    <row r="21" spans="2:22" ht="14.25" customHeight="1" x14ac:dyDescent="0.35">
      <c r="B21" s="23" t="s">
        <v>31</v>
      </c>
    </row>
    <row r="22" spans="2:22" ht="14.25" customHeight="1" x14ac:dyDescent="0.35">
      <c r="B22" s="23" t="s">
        <v>46</v>
      </c>
    </row>
    <row r="23" spans="2:22" ht="14.25" customHeight="1" x14ac:dyDescent="0.35">
      <c r="B23" s="23" t="s">
        <v>32</v>
      </c>
    </row>
    <row r="24" spans="2:22" ht="14.25" customHeight="1" x14ac:dyDescent="0.35">
      <c r="B24" s="23" t="s">
        <v>33</v>
      </c>
    </row>
    <row r="27" spans="2:22" x14ac:dyDescent="0.35">
      <c r="B27" s="23" t="s">
        <v>70</v>
      </c>
    </row>
    <row r="28" spans="2:22" x14ac:dyDescent="0.35">
      <c r="B28" s="23" t="s">
        <v>71</v>
      </c>
    </row>
    <row r="30" spans="2:22" x14ac:dyDescent="0.35">
      <c r="B30" s="233">
        <v>0</v>
      </c>
    </row>
    <row r="31" spans="2:22" x14ac:dyDescent="0.35">
      <c r="B31" s="234" t="s">
        <v>73</v>
      </c>
      <c r="E31" s="235"/>
      <c r="F31" s="235"/>
      <c r="G31" s="235"/>
      <c r="H31" s="235"/>
      <c r="I31" s="235"/>
      <c r="J31" s="235"/>
      <c r="K31" s="235"/>
      <c r="L31" s="235"/>
      <c r="M31" s="235"/>
      <c r="N31" s="235"/>
      <c r="O31" s="235"/>
      <c r="P31" s="235"/>
      <c r="Q31" s="235"/>
      <c r="R31" s="235"/>
      <c r="S31" s="235"/>
      <c r="T31" s="235"/>
      <c r="U31" s="235"/>
      <c r="V31" s="235"/>
    </row>
    <row r="32" spans="2:22" x14ac:dyDescent="0.35">
      <c r="B32" s="233" t="s">
        <v>160</v>
      </c>
      <c r="E32" s="235"/>
      <c r="F32" s="235"/>
      <c r="G32" s="235"/>
      <c r="H32" s="235"/>
      <c r="I32" s="235"/>
      <c r="J32" s="235"/>
      <c r="K32" s="235"/>
      <c r="L32" s="235"/>
      <c r="M32" s="235"/>
      <c r="N32" s="235"/>
      <c r="O32" s="235"/>
      <c r="P32" s="235"/>
      <c r="Q32" s="235"/>
      <c r="R32" s="235"/>
      <c r="S32" s="235"/>
      <c r="T32" s="235"/>
      <c r="U32" s="235"/>
      <c r="V32" s="235"/>
    </row>
    <row r="33" spans="5:22" x14ac:dyDescent="0.35">
      <c r="E33" s="235"/>
      <c r="F33" s="235"/>
      <c r="G33" s="235"/>
      <c r="H33" s="235"/>
      <c r="I33" s="235"/>
      <c r="J33" s="235"/>
      <c r="K33" s="235"/>
      <c r="L33" s="235"/>
      <c r="M33" s="235"/>
      <c r="N33" s="235"/>
      <c r="O33" s="235"/>
      <c r="P33" s="235"/>
      <c r="Q33" s="235"/>
      <c r="R33" s="235"/>
      <c r="S33" s="235"/>
      <c r="T33" s="235"/>
      <c r="U33" s="235"/>
      <c r="V33" s="235"/>
    </row>
    <row r="34" spans="5:22" x14ac:dyDescent="0.35">
      <c r="E34" s="235"/>
      <c r="F34" s="235"/>
      <c r="G34" s="235"/>
      <c r="H34" s="235"/>
      <c r="I34" s="235"/>
      <c r="J34" s="235"/>
      <c r="K34" s="235"/>
      <c r="L34" s="235"/>
      <c r="M34" s="235"/>
      <c r="N34" s="235"/>
      <c r="O34" s="235"/>
      <c r="P34" s="235"/>
      <c r="Q34" s="235"/>
      <c r="R34" s="235"/>
      <c r="S34" s="235"/>
      <c r="T34" s="235"/>
      <c r="U34" s="235"/>
      <c r="V34" s="235"/>
    </row>
    <row r="35" spans="5:22" ht="18.75" customHeight="1" x14ac:dyDescent="0.35">
      <c r="E35" s="236" t="s">
        <v>113</v>
      </c>
      <c r="F35" s="237"/>
      <c r="G35" s="237"/>
      <c r="H35" s="237"/>
      <c r="I35" s="237"/>
      <c r="J35" s="237"/>
      <c r="K35" s="235"/>
      <c r="L35" s="235"/>
      <c r="M35" s="235"/>
      <c r="N35" s="235"/>
      <c r="O35" s="235"/>
      <c r="P35" s="235"/>
      <c r="Q35" s="235"/>
      <c r="R35" s="235"/>
      <c r="S35" s="235"/>
      <c r="T35" s="235"/>
      <c r="U35" s="235"/>
      <c r="V35" s="235"/>
    </row>
    <row r="36" spans="5:22" x14ac:dyDescent="0.35">
      <c r="E36" s="235" t="s">
        <v>87</v>
      </c>
      <c r="F36" s="235"/>
      <c r="G36" s="235"/>
      <c r="H36" s="235"/>
      <c r="I36" s="235"/>
      <c r="J36" s="235"/>
      <c r="K36" s="235"/>
      <c r="L36" s="235"/>
      <c r="M36" s="235"/>
      <c r="N36" s="235"/>
      <c r="O36" s="235"/>
      <c r="P36" s="235"/>
      <c r="Q36" s="235"/>
      <c r="R36" s="235"/>
      <c r="S36" s="235"/>
      <c r="T36" s="235"/>
      <c r="U36" s="235"/>
      <c r="V36" s="235"/>
    </row>
    <row r="37" spans="5:22" x14ac:dyDescent="0.35">
      <c r="E37" s="235"/>
      <c r="F37" s="235"/>
      <c r="G37" s="235"/>
      <c r="H37" s="235"/>
      <c r="I37" s="235"/>
      <c r="J37" s="235"/>
      <c r="K37" s="235"/>
      <c r="L37" s="235"/>
      <c r="M37" s="235"/>
      <c r="N37" s="235"/>
      <c r="O37" s="235"/>
      <c r="P37" s="235"/>
      <c r="Q37" s="235"/>
      <c r="R37" s="235"/>
      <c r="S37" s="235"/>
      <c r="T37" s="235"/>
      <c r="U37" s="235"/>
      <c r="V37" s="235"/>
    </row>
    <row r="38" spans="5:22" x14ac:dyDescent="0.35">
      <c r="E38" s="235"/>
      <c r="F38" s="235"/>
      <c r="G38" s="235"/>
      <c r="H38" s="235"/>
      <c r="I38" s="235"/>
      <c r="J38" s="235"/>
      <c r="K38" s="235"/>
      <c r="L38" s="235"/>
      <c r="M38" s="235"/>
      <c r="N38" s="235"/>
      <c r="O38" s="235"/>
      <c r="P38" s="235"/>
      <c r="Q38" s="235"/>
      <c r="R38" s="235"/>
      <c r="S38" s="235"/>
      <c r="T38" s="235"/>
      <c r="U38" s="235"/>
      <c r="V38" s="235"/>
    </row>
    <row r="39" spans="5:22" x14ac:dyDescent="0.35">
      <c r="E39" s="235"/>
      <c r="F39" s="235"/>
      <c r="G39" s="235"/>
      <c r="H39" s="235"/>
      <c r="I39" s="235"/>
      <c r="J39" s="235"/>
      <c r="K39" s="235"/>
      <c r="L39" s="235"/>
      <c r="M39" s="235"/>
      <c r="N39" s="235"/>
      <c r="O39" s="235"/>
      <c r="P39" s="235"/>
      <c r="Q39" s="235"/>
      <c r="R39" s="235"/>
      <c r="S39" s="235"/>
      <c r="T39" s="235"/>
      <c r="U39" s="235"/>
      <c r="V39" s="235"/>
    </row>
    <row r="40" spans="5:22" x14ac:dyDescent="0.35">
      <c r="E40" s="235"/>
      <c r="F40" s="235"/>
      <c r="G40" s="235"/>
      <c r="H40" s="235"/>
      <c r="I40" s="235"/>
      <c r="J40" s="235"/>
      <c r="K40" s="235"/>
      <c r="L40" s="235"/>
      <c r="M40" s="235"/>
      <c r="N40" s="235"/>
      <c r="O40" s="235"/>
      <c r="P40" s="235"/>
      <c r="Q40" s="235"/>
      <c r="R40" s="235"/>
      <c r="S40" s="235"/>
      <c r="T40" s="235"/>
      <c r="U40" s="235"/>
      <c r="V40" s="235"/>
    </row>
    <row r="41" spans="5:22" x14ac:dyDescent="0.35">
      <c r="E41" s="235"/>
      <c r="F41" s="235"/>
      <c r="G41" s="235"/>
      <c r="H41" s="235"/>
      <c r="I41" s="235"/>
      <c r="J41" s="235"/>
      <c r="K41" s="235"/>
      <c r="L41" s="235"/>
      <c r="M41" s="235"/>
      <c r="N41" s="235"/>
      <c r="O41" s="235"/>
      <c r="P41" s="235"/>
      <c r="Q41" s="235"/>
      <c r="R41" s="235"/>
      <c r="S41" s="235"/>
      <c r="T41" s="235"/>
      <c r="U41" s="235"/>
      <c r="V41" s="235"/>
    </row>
    <row r="42" spans="5:22" x14ac:dyDescent="0.35">
      <c r="E42" s="235"/>
      <c r="F42" s="235"/>
      <c r="G42" s="235"/>
      <c r="H42" s="235"/>
      <c r="I42" s="235"/>
      <c r="J42" s="235"/>
      <c r="K42" s="235"/>
      <c r="L42" s="235"/>
      <c r="M42" s="235"/>
      <c r="N42" s="235"/>
      <c r="O42" s="235"/>
      <c r="P42" s="235"/>
      <c r="Q42" s="235"/>
      <c r="R42" s="235"/>
      <c r="S42" s="235"/>
      <c r="T42" s="235"/>
      <c r="U42" s="235"/>
      <c r="V42" s="235"/>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2:D26"/>
  <sheetViews>
    <sheetView zoomScale="85" zoomScaleNormal="85" workbookViewId="0">
      <selection activeCell="A19" sqref="A19:B19"/>
    </sheetView>
  </sheetViews>
  <sheetFormatPr defaultColWidth="9.109375" defaultRowHeight="15" x14ac:dyDescent="0.35"/>
  <cols>
    <col min="1" max="1" width="114" style="23" bestFit="1" customWidth="1"/>
    <col min="2" max="2" width="9.109375" style="23"/>
    <col min="3" max="3" width="82.88671875" style="23" bestFit="1" customWidth="1"/>
    <col min="4" max="16384" width="9.109375" style="23"/>
  </cols>
  <sheetData>
    <row r="2" spans="1:4" x14ac:dyDescent="0.35">
      <c r="A2" s="112" t="s">
        <v>14</v>
      </c>
    </row>
    <row r="3" spans="1:4" ht="30" x14ac:dyDescent="0.35">
      <c r="A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30"/>
      <c r="D3" s="131"/>
    </row>
    <row r="4" spans="1:4" ht="30" x14ac:dyDescent="0.35">
      <c r="A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x14ac:dyDescent="0.35">
      <c r="A5" s="111" t="s">
        <v>15</v>
      </c>
    </row>
    <row r="7" spans="1:4" x14ac:dyDescent="0.35">
      <c r="A7" s="23" t="s">
        <v>155</v>
      </c>
    </row>
    <row r="8" spans="1:4" x14ac:dyDescent="0.35">
      <c r="A8" s="23" t="s">
        <v>153</v>
      </c>
    </row>
    <row r="9" spans="1:4" x14ac:dyDescent="0.35">
      <c r="A9" s="23" t="s">
        <v>154</v>
      </c>
    </row>
    <row r="11" spans="1:4" x14ac:dyDescent="0.35">
      <c r="A11" s="23" t="s">
        <v>139</v>
      </c>
    </row>
    <row r="12" spans="1:4" x14ac:dyDescent="0.35">
      <c r="A12" s="23" t="s">
        <v>140</v>
      </c>
      <c r="B12" s="243">
        <v>1</v>
      </c>
    </row>
    <row r="13" spans="1:4" x14ac:dyDescent="0.35">
      <c r="A13" s="23" t="s">
        <v>163</v>
      </c>
      <c r="B13" s="243">
        <v>0.8</v>
      </c>
    </row>
    <row r="14" spans="1:4" x14ac:dyDescent="0.35">
      <c r="A14" s="23" t="s">
        <v>164</v>
      </c>
      <c r="B14" s="243">
        <v>0.7</v>
      </c>
    </row>
    <row r="15" spans="1:4" x14ac:dyDescent="0.35">
      <c r="A15"/>
      <c r="B15"/>
    </row>
    <row r="16" spans="1:4" x14ac:dyDescent="0.35">
      <c r="A16" s="23" t="s">
        <v>138</v>
      </c>
    </row>
    <row r="17" spans="1:2" x14ac:dyDescent="0.35">
      <c r="A17" s="23" t="s">
        <v>140</v>
      </c>
      <c r="B17" s="243">
        <v>1</v>
      </c>
    </row>
    <row r="18" spans="1:2" x14ac:dyDescent="0.35">
      <c r="A18" s="23" t="s">
        <v>163</v>
      </c>
      <c r="B18" s="243">
        <v>0.85</v>
      </c>
    </row>
    <row r="19" spans="1:2" x14ac:dyDescent="0.35">
      <c r="A19" s="23" t="s">
        <v>164</v>
      </c>
      <c r="B19" s="243">
        <v>0.8</v>
      </c>
    </row>
    <row r="20" spans="1:2" x14ac:dyDescent="0.35">
      <c r="A20" s="23" t="s">
        <v>165</v>
      </c>
      <c r="B20" s="243">
        <v>0.75</v>
      </c>
    </row>
    <row r="22" spans="1:2" x14ac:dyDescent="0.35">
      <c r="A22" s="23" t="s">
        <v>138</v>
      </c>
    </row>
    <row r="23" spans="1:2" x14ac:dyDescent="0.35">
      <c r="A23" s="23" t="s">
        <v>139</v>
      </c>
    </row>
    <row r="26" spans="1:2" x14ac:dyDescent="0.35">
      <c r="A26" s="23" t="s">
        <v>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75</vt:i4>
      </vt:variant>
    </vt:vector>
  </HeadingPairs>
  <TitlesOfParts>
    <vt:vector size="81" baseType="lpstr">
      <vt:lpstr>Bank Statements</vt:lpstr>
      <vt:lpstr>Express Doc</vt:lpstr>
      <vt:lpstr>STEP 3 - Income Analysis</vt:lpstr>
      <vt:lpstr>Asset Utilization</vt:lpstr>
      <vt:lpstr>Admin</vt:lpstr>
      <vt:lpstr>Admin AU</vt:lpstr>
      <vt:lpstr>AES</vt:lpstr>
      <vt:lpstr>'Bank Statements'!AMD</vt:lpstr>
      <vt:lpstr>APlust</vt:lpstr>
      <vt:lpstr>Asset</vt:lpstr>
      <vt:lpstr>AssetPlus</vt:lpstr>
      <vt:lpstr>AUDate</vt:lpstr>
      <vt:lpstr>BExpStd</vt:lpstr>
      <vt:lpstr>Borr</vt:lpstr>
      <vt:lpstr>'Bank Statements'!BorrowerName</vt:lpstr>
      <vt:lpstr>'Bank Statements'!BT</vt:lpstr>
      <vt:lpstr>'Bank Statements'!BusExpinPer</vt:lpstr>
      <vt:lpstr>BusinessExplanation</vt:lpstr>
      <vt:lpstr>'Bank Statements'!Businessname</vt:lpstr>
      <vt:lpstr>CoreAsset</vt:lpstr>
      <vt:lpstr>'Bank Statements'!DateRecentStatement</vt:lpstr>
      <vt:lpstr>Dep</vt:lpstr>
      <vt:lpstr>depeight</vt:lpstr>
      <vt:lpstr>depfirst</vt:lpstr>
      <vt:lpstr>depfive</vt:lpstr>
      <vt:lpstr>depfour</vt:lpstr>
      <vt:lpstr>depnine</vt:lpstr>
      <vt:lpstr>'Bank Statements'!Deposit1</vt:lpstr>
      <vt:lpstr>'Bank Statements'!Deposit10</vt:lpstr>
      <vt:lpstr>'Bank Statements'!Deposit11</vt:lpstr>
      <vt:lpstr>'Bank Statements'!Deposit12</vt:lpstr>
      <vt:lpstr>'Bank Statements'!Deposit2</vt:lpstr>
      <vt:lpstr>'Bank Statements'!Deposit3</vt:lpstr>
      <vt:lpstr>'Bank Statements'!Deposit4</vt:lpstr>
      <vt:lpstr>'Bank Statements'!Deposit5</vt:lpstr>
      <vt:lpstr>'Bank Statements'!Deposit6</vt:lpstr>
      <vt:lpstr>'Bank Statements'!Deposit7</vt:lpstr>
      <vt:lpstr>'Bank Statements'!Deposit8</vt:lpstr>
      <vt:lpstr>'Bank Statements'!Deposit9</vt:lpstr>
      <vt:lpstr>'Bank Statements'!DepositNotBus1</vt:lpstr>
      <vt:lpstr>'Bank Statements'!DepositNotBus2</vt:lpstr>
      <vt:lpstr>'Bank Statements'!DepositNotBus3</vt:lpstr>
      <vt:lpstr>'Bank Statements'!Deposits24</vt:lpstr>
      <vt:lpstr>'Bank Statements'!DepositsFirst12</vt:lpstr>
      <vt:lpstr>'Bank Statements'!DepositsNotBus12</vt:lpstr>
      <vt:lpstr>'Bank Statements'!DepositsNotBus24</vt:lpstr>
      <vt:lpstr>Depositten</vt:lpstr>
      <vt:lpstr>depseven</vt:lpstr>
      <vt:lpstr>depsix</vt:lpstr>
      <vt:lpstr>depthree</vt:lpstr>
      <vt:lpstr>deptwo</vt:lpstr>
      <vt:lpstr>DownPayment</vt:lpstr>
      <vt:lpstr>eleven</vt:lpstr>
      <vt:lpstr>'Bank Statements'!Employees</vt:lpstr>
      <vt:lpstr>'Bank Statements'!GoodsorServices</vt:lpstr>
      <vt:lpstr>'Bank Statements'!LargeDeposits</vt:lpstr>
      <vt:lpstr>LoanAmount</vt:lpstr>
      <vt:lpstr>lstBType</vt:lpstr>
      <vt:lpstr>lstMos</vt:lpstr>
      <vt:lpstr>'Bank Statements'!MosReq</vt:lpstr>
      <vt:lpstr>NotBusDeposit</vt:lpstr>
      <vt:lpstr>notbusthree</vt:lpstr>
      <vt:lpstr>notbustwelve</vt:lpstr>
      <vt:lpstr>notbustwo</vt:lpstr>
      <vt:lpstr>'Bank Statements'!NSF</vt:lpstr>
      <vt:lpstr>own</vt:lpstr>
      <vt:lpstr>'Bank Statements'!Ownership</vt:lpstr>
      <vt:lpstr>personal</vt:lpstr>
      <vt:lpstr>PgRq</vt:lpstr>
      <vt:lpstr>PlusAsset</vt:lpstr>
      <vt:lpstr>'Bank Statements'!PorB</vt:lpstr>
      <vt:lpstr>'Asset Utilization'!Print_Area</vt:lpstr>
      <vt:lpstr>'Bank Statements'!Print_Area</vt:lpstr>
      <vt:lpstr>'STEP 3 - Income Analysis'!Print_Area</vt:lpstr>
      <vt:lpstr>Program</vt:lpstr>
      <vt:lpstr>'Bank Statements'!Rent</vt:lpstr>
      <vt:lpstr>res</vt:lpstr>
      <vt:lpstr>Result</vt:lpstr>
      <vt:lpstr>'Bank Statements'!Seperatebooks</vt:lpstr>
      <vt:lpstr>'Bank Statements'!Transfers</vt:lpstr>
      <vt:lpstr>twelve</vt:lpstr>
    </vt:vector>
  </TitlesOfParts>
  <Company>SG Capital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SGCP</dc:creator>
  <cp:lastModifiedBy>Corinne Mendez</cp:lastModifiedBy>
  <cp:lastPrinted>2018-11-15T14:16:00Z</cp:lastPrinted>
  <dcterms:created xsi:type="dcterms:W3CDTF">2016-12-08T14:04:14Z</dcterms:created>
  <dcterms:modified xsi:type="dcterms:W3CDTF">2019-04-11T16:50:35Z</dcterms:modified>
</cp:coreProperties>
</file>